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C:\Users\57310\OneDrive\Documentos\SSF 2022\Seguimientos Ley\Ekogui\I Sem 2022\"/>
    </mc:Choice>
  </mc:AlternateContent>
  <bookViews>
    <workbookView xWindow="0" yWindow="0" windowWidth="14055" windowHeight="4635" tabRatio="777" activeTab="7"/>
  </bookViews>
  <sheets>
    <sheet name="Principal" sheetId="4" r:id="rId1"/>
    <sheet name="USUARIOS" sheetId="1" r:id="rId2"/>
    <sheet name="ABOGADOS" sheetId="7" r:id="rId3"/>
    <sheet name="JUDICIALES" sheetId="8" r:id="rId4"/>
    <sheet name="PREJUDICIALES" sheetId="9" r:id="rId5"/>
    <sheet name="ARBITRAMENTOS" sheetId="10" r:id="rId6"/>
    <sheet name="PAGOS" sheetId="11" r:id="rId7"/>
    <sheet name="Resumen General" sheetId="5" r:id="rId8"/>
    <sheet name="Base a pegar" sheetId="12" state="hidden" r:id="rId9"/>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8" i="5" l="1"/>
  <c r="F19" i="5"/>
  <c r="D14" i="12" l="1"/>
  <c r="A3" i="12"/>
  <c r="A18" i="12" s="1"/>
  <c r="F18" i="12"/>
  <c r="E18" i="12"/>
  <c r="D18" i="12"/>
  <c r="C18" i="12"/>
  <c r="F17" i="12"/>
  <c r="E17" i="12"/>
  <c r="D17" i="12"/>
  <c r="C17" i="12"/>
  <c r="F16" i="12"/>
  <c r="E16" i="12"/>
  <c r="D16" i="12"/>
  <c r="C16" i="12"/>
  <c r="F15" i="12"/>
  <c r="E15" i="12"/>
  <c r="D15" i="12"/>
  <c r="C15" i="12"/>
  <c r="F14" i="12"/>
  <c r="E14" i="12"/>
  <c r="C14" i="12"/>
  <c r="F13" i="12"/>
  <c r="E13" i="12"/>
  <c r="D13" i="12"/>
  <c r="C13" i="12"/>
  <c r="BO3" i="12"/>
  <c r="BN3" i="12"/>
  <c r="BM3" i="12"/>
  <c r="BL3" i="12"/>
  <c r="BK3" i="12"/>
  <c r="BJ3" i="12"/>
  <c r="BI3" i="12"/>
  <c r="BH3" i="12"/>
  <c r="BG3" i="12"/>
  <c r="BF3" i="12"/>
  <c r="BE3" i="12"/>
  <c r="BD3" i="12"/>
  <c r="BC3" i="12"/>
  <c r="BB3" i="12"/>
  <c r="BA3" i="12"/>
  <c r="AZ3" i="12"/>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P3" i="12"/>
  <c r="O3" i="12"/>
  <c r="N3" i="12"/>
  <c r="M3" i="12"/>
  <c r="L3" i="12"/>
  <c r="K3" i="12"/>
  <c r="J3" i="12"/>
  <c r="I3" i="12"/>
  <c r="H3" i="12"/>
  <c r="G3" i="12"/>
  <c r="F3" i="12"/>
  <c r="E3" i="12"/>
  <c r="D3" i="12"/>
  <c r="C3" i="12"/>
  <c r="B3" i="12"/>
  <c r="A13" i="12" l="1"/>
  <c r="A17" i="12"/>
  <c r="A15" i="12"/>
  <c r="A14" i="12"/>
  <c r="A16" i="12"/>
  <c r="C12" i="5" l="1"/>
  <c r="V3" i="7"/>
  <c r="G14" i="1" l="1"/>
  <c r="G15" i="12" s="1"/>
  <c r="G13" i="1"/>
  <c r="G14" i="12" s="1"/>
  <c r="G15" i="1"/>
  <c r="G16" i="12" s="1"/>
  <c r="G16" i="1"/>
  <c r="G17" i="12" s="1"/>
  <c r="G17" i="1"/>
  <c r="G18" i="12" s="1"/>
  <c r="G12" i="1"/>
  <c r="G13" i="12" s="1"/>
  <c r="F17" i="5" l="1"/>
  <c r="F15" i="5"/>
  <c r="F10" i="5"/>
  <c r="C19" i="5"/>
  <c r="C17" i="5"/>
  <c r="C16" i="5"/>
  <c r="T16" i="10"/>
  <c r="T12" i="10"/>
  <c r="W3" i="8"/>
  <c r="C25" i="8" s="1"/>
  <c r="T17" i="10" l="1"/>
  <c r="F13" i="5" s="1"/>
  <c r="V2" i="9"/>
  <c r="V3" i="9" s="1"/>
  <c r="F9" i="9" s="1"/>
  <c r="F11" i="5" l="1"/>
  <c r="F14" i="5"/>
  <c r="F9" i="5"/>
  <c r="F8" i="5"/>
  <c r="C14" i="5"/>
  <c r="C15" i="5"/>
  <c r="C18" i="5" s="1"/>
  <c r="J13" i="1"/>
  <c r="J14" i="1"/>
  <c r="J15" i="1"/>
  <c r="J16" i="1"/>
  <c r="J17" i="1"/>
  <c r="J12" i="1"/>
  <c r="I12" i="1"/>
  <c r="I13" i="1"/>
  <c r="I14" i="1"/>
  <c r="I15" i="1"/>
  <c r="I16" i="1"/>
  <c r="I17" i="1"/>
  <c r="H13" i="1"/>
  <c r="H14" i="1"/>
  <c r="H15" i="1"/>
  <c r="H16" i="1"/>
  <c r="H17" i="1"/>
  <c r="H12" i="1"/>
  <c r="C10" i="5" l="1"/>
  <c r="C9" i="5"/>
  <c r="C8" i="5"/>
  <c r="V3" i="11" l="1"/>
  <c r="V3" i="10"/>
  <c r="F7" i="7" l="1"/>
</calcChain>
</file>

<file path=xl/comments1.xml><?xml version="1.0" encoding="utf-8"?>
<comments xmlns="http://schemas.openxmlformats.org/spreadsheetml/2006/main">
  <authors>
    <author>Juan Pablo Garzón Peraza</author>
  </authors>
  <commentList>
    <comment ref="C21" authorId="0" shapeId="0">
      <text>
        <r>
          <rPr>
            <b/>
            <sz val="9"/>
            <color indexed="81"/>
            <rFont val="Tahoma"/>
            <family val="2"/>
          </rPr>
          <t>Juan Pablo Garzón Peraza:</t>
        </r>
        <r>
          <rPr>
            <sz val="9"/>
            <color indexed="81"/>
            <rFont val="Tahoma"/>
            <family val="2"/>
          </rPr>
          <t xml:space="preserve">
Total de procesos terminados, sin importar la fecha de terminación</t>
        </r>
      </text>
    </comment>
  </commentList>
</comments>
</file>

<file path=xl/sharedStrings.xml><?xml version="1.0" encoding="utf-8"?>
<sst xmlns="http://schemas.openxmlformats.org/spreadsheetml/2006/main" count="277" uniqueCount="202">
  <si>
    <t>JEFE FINANCIERO</t>
  </si>
  <si>
    <t>JEFE JURÍDICO</t>
  </si>
  <si>
    <t>ENLACE DE PAGOS</t>
  </si>
  <si>
    <t>JEFE CONTROL INTERNO</t>
  </si>
  <si>
    <t>SECRETARIO TÉCNICO</t>
  </si>
  <si>
    <t>ADMINISTRADOR DE LA ENTIDAD</t>
  </si>
  <si>
    <t>FECHA CREACIÓN  EN EKOGUI</t>
  </si>
  <si>
    <t>NOMBRE</t>
  </si>
  <si>
    <t>Pagos</t>
  </si>
  <si>
    <t>Uso del sistema</t>
  </si>
  <si>
    <t>Plantilla de certificado de Control Interno</t>
  </si>
  <si>
    <t>Agencia Nacional de Defensa Jurídica del Estado</t>
  </si>
  <si>
    <t>Si</t>
  </si>
  <si>
    <t>No</t>
  </si>
  <si>
    <t>N/A</t>
  </si>
  <si>
    <t>ROL</t>
  </si>
  <si>
    <t>TIENE EL ROL</t>
  </si>
  <si>
    <t>FECHA ÚLTIMA CAPACITACIÓN</t>
  </si>
  <si>
    <t xml:space="preserve">CANTIDAD </t>
  </si>
  <si>
    <t>CANTIDAD DE ABOGADOS</t>
  </si>
  <si>
    <t>ABOGADOS CON PROCESOS ACTIVOS</t>
  </si>
  <si>
    <t>CANTIDAD DE ABOGADOS LITIGANDO</t>
  </si>
  <si>
    <t>ABOGADOS CREADOS EN EKOGUI ACTIVOS</t>
  </si>
  <si>
    <t>CANTIDAD</t>
  </si>
  <si>
    <t>ABOGADOS INACTIVOS</t>
  </si>
  <si>
    <t>Sin capacitación</t>
  </si>
  <si>
    <t>ABOGADOS CON CORREO ACTUALIZADO</t>
  </si>
  <si>
    <t>CANTIDAD DE PROCESOS ACTIVOS</t>
  </si>
  <si>
    <t>PROCESOS ACTIVOS REGISTRADOS EN EKOGUI</t>
  </si>
  <si>
    <t>PROCESOS SIN ABOGADO ASIGNADO</t>
  </si>
  <si>
    <t>PROCESOS ACTIVOS</t>
  </si>
  <si>
    <t>ACTUALIZACIÓN</t>
  </si>
  <si>
    <t>CALIFICACIÓN DE RIESGO</t>
  </si>
  <si>
    <t>PROCESOS ACTIVOS EN CALIDAD DEMANDADO</t>
  </si>
  <si>
    <t>PROCESOS SIN CALIFICACIÓN</t>
  </si>
  <si>
    <t>PROCESO ENTIDAD TERMINADOS</t>
  </si>
  <si>
    <t>ENTIDAD</t>
  </si>
  <si>
    <t>INFORMACIÓN USUARIOS</t>
  </si>
  <si>
    <t>Usuarios activos</t>
  </si>
  <si>
    <t>Nivel de capacitación</t>
  </si>
  <si>
    <t>Completitud de roles</t>
  </si>
  <si>
    <t>Procesos activos</t>
  </si>
  <si>
    <t>Procesos por abogado</t>
  </si>
  <si>
    <t>Porcentaje de registro</t>
  </si>
  <si>
    <t>Procesos arbitrales</t>
  </si>
  <si>
    <t>Procesos prejudiciales</t>
  </si>
  <si>
    <t>Actualización prejudiciales</t>
  </si>
  <si>
    <t>Actualización más de 33.000 SMMLV</t>
  </si>
  <si>
    <t>REGISTRO EN 2020</t>
  </si>
  <si>
    <t>REGISTRO EN 2019</t>
  </si>
  <si>
    <t>REGISTRO EN 2018 Y ANTERIORES</t>
  </si>
  <si>
    <t>TOTAL PREJUDICIALES ACTIVOS</t>
  </si>
  <si>
    <t>TOTAL PREJUDICIALES ACTIVOS EN EKOGUI</t>
  </si>
  <si>
    <t>TOTAL PROCESOS TERMINADOS</t>
  </si>
  <si>
    <t>CANTIDAD PREJUDICIALES</t>
  </si>
  <si>
    <t>Procesos que efectivamente se encuentran activos</t>
  </si>
  <si>
    <t>Proceso que se encuentran terminados</t>
  </si>
  <si>
    <t>Procesos de más de 33.000 SMMLV registrados en eKOGUI</t>
  </si>
  <si>
    <t>PROCESOS CON CALIFICACIÓN  EN 2020</t>
  </si>
  <si>
    <t>PROCESOS CON CALIFICACIÓN ANTERIOR A 2020</t>
  </si>
  <si>
    <t>PROBABILIDAD DE PERDER EL CASO ALTA</t>
  </si>
  <si>
    <t>PROBABILIDAD DE PERDER EL CASO MEDIA</t>
  </si>
  <si>
    <t>PROBABILIDAD DE PERDER EL CASO BAJA</t>
  </si>
  <si>
    <t>PROBABILIDAD DE PERDER EL CASO REMOTA</t>
  </si>
  <si>
    <t>CON PROVISIÓN IGUAL A CERO</t>
  </si>
  <si>
    <t>Procesos Judiciales</t>
  </si>
  <si>
    <t>TERMINADOS ÚLTIMA ACTUACIÓN EN 2020</t>
  </si>
  <si>
    <t>ARBITRAMENTOS</t>
  </si>
  <si>
    <t>ARBITRAMENTOS ACTIVOS</t>
  </si>
  <si>
    <t>ARBITRAMENTOS REGISTRADOS EN EKOGUI</t>
  </si>
  <si>
    <t>PAGOS</t>
  </si>
  <si>
    <t>Gestiona pagos en SIIF de MinHacienda</t>
  </si>
  <si>
    <t>Provisión incorrecta</t>
  </si>
  <si>
    <t>JUDICIALES</t>
  </si>
  <si>
    <t>PREJUDICIALES</t>
  </si>
  <si>
    <t>Plantilla de certificado de Control Interno eKOGUI</t>
  </si>
  <si>
    <t>ACTUALIZADO</t>
  </si>
  <si>
    <t>Entre 21-03-2019 y 31-12-2019</t>
  </si>
  <si>
    <t>PROCESOS SIN ABOGADO ASIGNADO(1)</t>
  </si>
  <si>
    <t>Procesos de más de 33.000 SMMLV con la pieza demanda(5)</t>
  </si>
  <si>
    <t>(5) Puede ser remitida a la ANDJE o cargada en el sistema</t>
  </si>
  <si>
    <t>PROCESOS ANALIZADOS</t>
  </si>
  <si>
    <t>PROCESOS TERMINADOS CON EJECUTORIA</t>
  </si>
  <si>
    <t>PROCESOS DESFAVORABLES</t>
  </si>
  <si>
    <t>PROCESOS QUE GENERAN EROGACIÓN ECONÓMICA</t>
  </si>
  <si>
    <t>PROCESOS CON VALOR CONDENA MAYOR A CERO</t>
  </si>
  <si>
    <t>ARBITRAMENTOS TERMINADOS EN EKOGUI</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</si>
  <si>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</si>
  <si>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OBSERVACIONES</t>
  </si>
  <si>
    <t>CONDENAS</t>
  </si>
  <si>
    <t>Observaciones</t>
  </si>
  <si>
    <t>Tiene información estudios</t>
  </si>
  <si>
    <t>Tienen información experiencia</t>
  </si>
  <si>
    <t>Tienen Información laboral</t>
  </si>
  <si>
    <t>INFORMACIÓN (1)</t>
  </si>
  <si>
    <t>Observaciones:</t>
  </si>
  <si>
    <t>Capacitaciones anteriores al 21-03-2019</t>
  </si>
  <si>
    <t>RETIRADOS EN LA ENTIDAD PRIMER SEMESTRE 2020</t>
  </si>
  <si>
    <t>INACTIVADOS EN EKOGUI PRIMER SEMESTRE 2020</t>
  </si>
  <si>
    <t>(1) Se visualiza en el detalle del abogado a la fecha de revisión</t>
  </si>
  <si>
    <t>Solamente se revisa que tenga registrada alguna información registrada</t>
  </si>
  <si>
    <t>PROVISIÓN CONTABLE (6)</t>
  </si>
  <si>
    <t>MAYORES A 33.000 SMMLV(4) ACTIVOS</t>
  </si>
  <si>
    <t>ÚLTIMA CAPACITACIÓN ABOGADOS ACTIVOS</t>
  </si>
  <si>
    <t>No Aplica</t>
  </si>
  <si>
    <t>USUARIOS ACTIVOS</t>
  </si>
  <si>
    <t>Posteriores al 01-01-2020</t>
  </si>
  <si>
    <t>Fecha de diligenciamiento de plantilla</t>
  </si>
  <si>
    <t>NOMBRE JEFE CONTROL INTERNO</t>
  </si>
  <si>
    <t>TIENE INFORMACIÓN ESTUDIOS</t>
  </si>
  <si>
    <t>TIENEN INFORMACIÓN EXPERIENCIA</t>
  </si>
  <si>
    <t>TIENEN INFORMACIÓN LABORAL</t>
  </si>
  <si>
    <t>POSTERIORES AL 01-01-2020</t>
  </si>
  <si>
    <t>ENTRE 21-03-2019 Y 31-12-2019</t>
  </si>
  <si>
    <t>CAPACITACIONES ANTERIORES AL 21-03-2019</t>
  </si>
  <si>
    <t>SIN CAPACITACIÓN</t>
  </si>
  <si>
    <t>PROCESOS TERMINADOS PERIODO</t>
  </si>
  <si>
    <t>TERMINADOS PERIODO EN EKOGUI</t>
  </si>
  <si>
    <t>PROCESOS ACTIVOS CON ESTADO TERMINADO</t>
  </si>
  <si>
    <t>CANTIDAD DE PROCESOS DE MÁS DE 33.000 SMMLV</t>
  </si>
  <si>
    <t>PROCESOS DE MÁS DE 33.000 SMMLV REGISTRADOS EN EKOGUI</t>
  </si>
  <si>
    <t xml:space="preserve">PROCESOS DE MÁS DE 33.000 SMMLV CON LA PIEZA DEMANDA </t>
  </si>
  <si>
    <t>PROBABILIDAD DE PERDER EL CASO ALTA - PROCESOS</t>
  </si>
  <si>
    <t>PROBABILIDAD DE PERDER EL CASO MEDIA - PROCESOS</t>
  </si>
  <si>
    <t>PROBABILIDAD DE PERDER EL CASO BAJA - PROCESOS</t>
  </si>
  <si>
    <t>PROBABILIDAD DE PERDER EL CASO REMOTA - PROCESOS</t>
  </si>
  <si>
    <t>PROBABILIDAD DE PERDER EL CASO ALTA - PROVISION 0</t>
  </si>
  <si>
    <t>PROBABILIDAD DE PERDER EL CASO MEDIA - PROVISION 0</t>
  </si>
  <si>
    <t>PROBABILIDAD DE PERDER EL CASO BAJA - PROVISION 0</t>
  </si>
  <si>
    <t>PROBABILIDAD DE PERDER EL CASO REMOTA - PROVISION 0</t>
  </si>
  <si>
    <t>TOTAL ARBITRAMENTOS TERMINADOS CORTE</t>
  </si>
  <si>
    <t>GESTIONA PAGOS EN SIIF DE MINHACIENDA</t>
  </si>
  <si>
    <t>PAGOS ENLAZADOS</t>
  </si>
  <si>
    <t>FECHA REPORTE USUARIOS</t>
  </si>
  <si>
    <t>FECHA REPORTE ABOGADOS</t>
  </si>
  <si>
    <t>FECHA REPORTE JUDICIALES</t>
  </si>
  <si>
    <t>OBS1</t>
  </si>
  <si>
    <t>OBS2</t>
  </si>
  <si>
    <t>OBS3</t>
  </si>
  <si>
    <t>OBS4</t>
  </si>
  <si>
    <t>OBS5</t>
  </si>
  <si>
    <t>OBS6</t>
  </si>
  <si>
    <t>OBS7</t>
  </si>
  <si>
    <t>Favor Diligenciar los Campos Resaltados</t>
  </si>
  <si>
    <t># PROCESOS</t>
  </si>
  <si>
    <t>Favor Diligenciar los campos Resaltados</t>
  </si>
  <si>
    <t>Conciliaciones Prejudiciales</t>
  </si>
  <si>
    <t>PREJUDICIALES TERMINADAS SEGUNDO SEMESTRE 2021</t>
  </si>
  <si>
    <t>Procesos que se encuentran terminados</t>
  </si>
  <si>
    <t>Abogados al 30 de junio de 2022</t>
  </si>
  <si>
    <t>ABOGADOS ACTIVOS AL 30-06-2022</t>
  </si>
  <si>
    <t>PROCESOS ACTIVOS AL 30 DE JUNIO DE 2022</t>
  </si>
  <si>
    <t>(1) Con fecha de registro anterior al 15-06-2022</t>
  </si>
  <si>
    <t>PROCESOS TERMINADOS PRIMER SEMESTRE 2022</t>
  </si>
  <si>
    <t>TERMINADOS EN EKOGUI DURANTE PRIMER SEMESTRE 2022 (2)</t>
  </si>
  <si>
    <t>(2) Con fecha de actuación en 2022</t>
  </si>
  <si>
    <r>
      <t>(3)En el reporte de activos al 30 de junio verifique la columna</t>
    </r>
    <r>
      <rPr>
        <b/>
        <i/>
        <sz val="9"/>
        <color theme="1"/>
        <rFont val="Calibri"/>
        <family val="2"/>
        <scheme val="minor"/>
      </rPr>
      <t xml:space="preserve"> Estado General del proceso</t>
    </r>
  </si>
  <si>
    <t>(4)Equivalente a un valor indexado de $33.000 millones a 30 de junio de 2022</t>
  </si>
  <si>
    <t>PREJUDICIALES ACTIVAS AL 30-06-2022</t>
  </si>
  <si>
    <t>REGISTRO POSTERIOR AL 31/12/2021</t>
  </si>
  <si>
    <t>REGISTRO EN PRIMER SEMESTRE DE 2021 Y ANTERIORES</t>
  </si>
  <si>
    <t>REGISTRO ENTRE  1 DE JULIO Y 31 DE DICIEMBRE DE 2021</t>
  </si>
  <si>
    <t>CANTIDAD DE ABOGADOS LITIGANDO SEGUN JURIDICA</t>
  </si>
  <si>
    <t>RETIRADOS EN LA ENTIDAD PRIMER SEMESTRE 2022 SEGÚN JURIDICA</t>
  </si>
  <si>
    <t>CANTIDAD DE PROCESOS ACTIVOS SEGÚN JURIDICA</t>
  </si>
  <si>
    <t>PROCESOS TERMINADOS DURANTE PRIMER SEMESTRE 2022 SEGÚN JURIDICA</t>
  </si>
  <si>
    <t>PROCESO TERMINADOS EN EKOGUI AL 30 DE JUNIO 2022</t>
  </si>
  <si>
    <t>PROCESOS ACTIVOS EN EKOGUI CON ESTADO TERMINADO(3)</t>
  </si>
  <si>
    <t>Cantidad de procesos de más de 33.000 SMMLV SEGÚN JURIDICA</t>
  </si>
  <si>
    <t>PROCESOS ACTIVOS EN EKOGUI  EN CALIDAD DEMANDADO AL 30-06-2022</t>
  </si>
  <si>
    <t>PROCESOS EN EKOGUI CON CALIFICACIÓN PRIMER SEMESTRE 2022</t>
  </si>
  <si>
    <t>PROCESOS EN EKOGUI CON CALIFICACIÓN ANTERIOR A 31-12-2021</t>
  </si>
  <si>
    <t>PROCESOS EN EKOGUI SIN CALIFICACIÓN</t>
  </si>
  <si>
    <t>(6) Solo se consideran los procesos activos en e-Kogui - calidad demandado al 30 de JUNIO de 2022 que tengan calificación de riesgo</t>
  </si>
  <si>
    <t>TOTAL PREJUDICIALES ACTIVOS SEGÚN JURIDICA</t>
  </si>
  <si>
    <t>ARBITRAMENTOS ACTIVOS AL 30-06-2022 SEGÚN JURIDICA</t>
  </si>
  <si>
    <t>TOTAL ARBITRAMENTOS TERMINADOS  AL 30-06-2022 SEGÚN JURIDICA</t>
  </si>
  <si>
    <t xml:space="preserve">*Nota Los valores arrojados en esta hoja son solo para referencia y control del diligenciamiento, no deben ser usados para </t>
  </si>
  <si>
    <t>Favor Diligenciar los Campos Resaltados y Revisar la Información Incompleta Antes de Remitir a la ANDJE *</t>
  </si>
  <si>
    <t>TOTAL PREJUDICIALES TERMINADOS I SEM. 2022 SEGÚN JURIDICA</t>
  </si>
  <si>
    <t>ARBITRAMENTOS ACTIVOS REGISTRADOS EN EKOGUI</t>
  </si>
  <si>
    <t>INACTIVADOS EN EKOGUI PRIMER SEMESTRE 2022</t>
  </si>
  <si>
    <t>Realiza Pagos por SIIF</t>
  </si>
  <si>
    <t>NOMBRE ENTIDAD QUE REPORTA</t>
  </si>
  <si>
    <t>NOMBRE JEFE CONTROL INTERNO QUE REPORTA</t>
  </si>
  <si>
    <t>calificar o cualificar o comparar a las entidades, no hay valores buenos ni malos. No es una hoja de validaciÓn</t>
  </si>
  <si>
    <t>Uso del Módulo Pagos</t>
  </si>
  <si>
    <t>TERMINADOS EN EKOGUI ÚLTIMA ACTUACIÓN  I SEM. 2022</t>
  </si>
  <si>
    <t>Su entidad utilizo el modulo de pagos en 2022-I?</t>
  </si>
  <si>
    <t>JOSE WILLIAM CASALLAS FANDIÑO</t>
  </si>
  <si>
    <t>JUAN CARLOS GOZALEZ SUAREZ</t>
  </si>
  <si>
    <t>CARLOS ARTURO GAVIRIA VEGA</t>
  </si>
  <si>
    <t>LUZ NEIDA HERNANDEZ GARCIA</t>
  </si>
  <si>
    <t>RAUL FERNANDO NUÑEZ MARIN</t>
  </si>
  <si>
    <t>La Oficina Asesora Jurídica informó que: "Durante dicho periodo la entidad NO tenía a cargo procesos arbitrales.", de acuerdo con la consulta realizada en el Sistema Ekogui no se observó 
registro de arbitramentos activos y terminados a 30-06-2022.</t>
  </si>
  <si>
    <t xml:space="preserve">La Oficina Asesora Jurídica informó que durante el primer semestre de 2022: "No se cancelaron sumas por concepto de sentencias, conciliaciones y/o laudos arbitrales.".
</t>
  </si>
  <si>
    <t xml:space="preserve">Conforme a la información suministrada por la Oficina Asesora Jurídica, se observa que, durante el primer semestre de 2022, el usuario con rol "Jefe Jurídico" y "administrador del sistema" se encuentra sin capacitación del sistema eKOGUI versión 2.0 para cada uno de sus roles. Por consiguiente,  se recomienda programar asistencia a capacitaciones ante la ANDJE con el fin de actualizarse en el funcionamiento de la versión 2.0 del sistema eKOGUI en su respectivo rol, de conformidad con lo dispuesto en el Decreto 1069 de 2015, artículo 2.2.3.4.1.13. "Funciones comunes para los usuarios del Sistema Único de Gestión e Información Litigiosa del Estado - eKOGUI" numeral 1 "Asistir a las jornadas de capacitación sobre el uso y alcance del Sistema Único de Gestión e Información de la Actividad Litigiosa del Estado - eKOGUI, que convoque la Agencia Nacional de Defensa Jurídica del Estado o el administrador de entidad.".
</t>
  </si>
  <si>
    <t>SUPERINTENDENCIA DEL SUBSIDIO FAMILIAR</t>
  </si>
  <si>
    <t>Se observó que con corte a 30-06-2022 la usuaria AURA ELVIRA GOMEZ MARTINEZ con rol “Abogado“ continuaba activa en el sistema, desvinculada de la Entidad desde el mes de junio de 2020, en el mismo sentido, se identificó que el usuario RAMIRO RODRIGUEZ LOPEZ con rol "Abogado" continuaba como activo en el sistema durante el primer semestre de 2022 que terminó su relación contractual en la Entidad a 31 de diciembre de 2021. Al respecto, se evidencia en el sistema Ekogui que fueron desactividos hasta el 4-08-2022 y 10-08-2022, por consiguiente, la información de correo, estudios, experiencia, laboral y de capacitación no fue registrada en los campos correspondientes. De acuerdo con lo antes observado, la Oficina Asesora Jurídica manifestó en correo del 5-09-2022 que "el rol pudo ser desactivado el día 4 de agosto de 2022, por inconvenientes con la plataforma eKOGUI", por lo anterior, se recomienda al usuario con rol Administrador de la Entidad realizar las inactivaciones de los usuarios en el sistema oportunamente, de conformidad con lo establecido en el Decreto 1069 de 2015, artículo 2.2.3.4.1.9. "Funciones del administrador del Sistema en la entidad." numeral 5 "Crear, asignar claves de acceso e inactivar dentro del Sistema Único de Gestión e Información Litigiosa del Estado - eKOGUI, a los usuarios de la entidad de conformidad con los instructivos que la Agencia expida para tal fin." ycuando no sea posible adelantar las gestiones necesarias con soporte eKOGUI para realizar las mismas.</t>
  </si>
  <si>
    <t>1. Procesos terminados: La Oficina Asesora Jurídica informó que seis (6) procesos fueron terminados durante el primer semestre de 2022, no obstante, de acuerdo con la consulta realizada en el sistema Ekogui se identificó un (1) proceso judicial con actuación de terminación del proceso el 13-05-2022 de Auto que decreta desistimiento. Respecto de los 6 procesos que reportó la Oficina Asesora Jurídica como terminados, aclaró que: "Los procesos que se hace referencia tuvieron fallo en el año 2021; sin embargo, se dieron por terminados en eKOGUI durante el primer semestre de 2022 a la espera de que no se interpusiera ningún tipo de recurso judicial.".
2. Actualización: De acuerdo con el reporte generado desde el sistema Ekogui de los procesos judiciales activos, se observa que el proceso con ID EKOGUI No. 160236 se encuentra en estado terminado, al respecto, la Oficina Asesora Jurídica informó que: "Posiblemente aparezca en estado terminado para alguna de las entidades vinculadas; sin embargo, lo que respecta para la SSF, este proceso está en estado activo como consta en la plataforma eKOGUI.".
3. Calificación del riesgo: De acuerdo con el reporte generado desde el sistema Ekogui de los procesos judiciales activos con corte a 30 de junio de 2022 (primer semestre de 2022), se observa que veintitrés (23) procesos tenían calificación del riesgo anterior al 31-12-2021 y un (1) proceso con ID EKOGUI No. 2267232 no tenía calificación del riesgo y el cual contaba con contestación de la demanda al corte del semestre. Por lo anterior, se recomienda al usuario con rol abogado actualizar la calificación del riesgo con una periodicidad no superior a seis (6) meses, así como cada vez que se profiera una sentencia judicial, de conformidad con lo dispuesto en el Decreto 1069 de 2015, artículo 2.2.3.4.1.10. “Funciones del apoderado.”, numeral 4. Calificar el riesgo en cada uno de los procesos judiciales a su cargo, con una periodicidad no superior a seis (6) meses, así como cada vez que se profiera una sentencia judicial sobre el mismo, de conformidad con la metodología que determine la Agencia Nacional de Defensa Jurídica del Estado.
4. Provisión contable: De acuerdo con el reporte generado desde el sistema Ekogui de los procesos judiciales activos con corte a 30 de junio de 2022 (primer semestre de 2022), se observa error en el valor de la provisión contable registrado en el sistema para 14 procesos con probabilidad de perder el caso “Media”, en 1 con probabilidad de perder el caso “baja” y en 4 con probabilidad de perder el caso “Remota”, toda vez que, no es igual a cero (0). Al respecto, la Oficina Asesora Jurídica manifestó que: "Se informa que el error es derivado de un inconveniente con la plataforma, al tratar de establecer las provisiones contables, al dejar en 0 los valores, el mismo reporta error y no permite realizar el cargue (...) Sin embargo en miras de poder gestionar de mejor manera y continuar con el debido registro, la OAJ se compromete a realizar la solicitud de cambio con los procesos faltantes.". 
Por lo anterior, se recomienda ajustar en el sistema Ekogui el valor de la provisión contable de los procesos mencionados de conformidad con lo establecido en los literales b) y c) del artículo 7 de la Resolución 353 de 2016 de la ANDJE, así como lo dispuesto en la Resolución No. 0075 de 2017 de la SSF.</t>
  </si>
  <si>
    <t>1. Se observaron 6 procesos prejudiciales activos registrados antes del 1 de enero de 2022 (ID EKOGUI No.1111277, 1425524, 1480067, 1482024, 1482737 y  1484698), los cuales se encuentran terminados. Al respecto, la Oficina Asesora Jurídica informó que: "Los casos referenciados no fueron cerrados en su momento por el anterior abogado externo de la entidad, por lo que se solicitará a la ANDJE soporte técnico para poder dar por terminados esos casos.".       
2. De acuerdo con la información suministrada por la Oficina Asesora Jurídica, se observa que en el proceso con ID EKOGUI No. 1499922 se celebró audiencia el 18-05-2022 y fue reportado como terminado en el primer semestre de 2022, sin embargo, en el sistema Ekogui se encuentra registrado como activo. 
Por lo anterior, se recomienda al usuario con rol abogado dar terminación oportuna a los mismos, de conformidad con lo establecido en el Decreto 1069 de 2015, artículo 2.2.3.4.1.10. "Funciones del apoderado.", numeral 1 "Registrar y actualizar de manera oportuna en el Sistema Único de Gestión e Información Litigiosa del Estado - eKOGUl, las solicitudes de conciliación extrajudicial, los procesos judiciales, y los trámites arbitrales a su cargo. ".</t>
  </si>
  <si>
    <t>De acuerdo con el resultado de la verificación del primer (I) semestre de 2022, la Oficina Control Interno recomienda lo siguiente: 
1. Programar asistencia a capacitaciones para los usuarios con rol Administrador de la Entidad, Jefe Jurídico, con el propósito de actualizarse en el funcionamiento de la versión 2.0 del sistema eKOGUI en su respectivo rol, y dar cumplimiento a lo dispuesto en el Decreto 1069 de 2015, artículo 2.2.3.4.1.13. "Funciones comunes para los usuarios del Sistema Único de Gestión e Información Litigiosa del Estado - eKOGUI" numeral 1 "Asistir a las jornadas de capacitación sobre el uso y alcance del Sistema Único de Gestión e Información de la Actividad Litigiosa del Estado - eKOGUI, que convoque la Agencia Nacional de Defensa Jurídica del Estado o el administrador de entidad.".
2. Se recomienda al usuario con rol Administrador de la Entidad realizar las activaciones e inactivaciones de los usuarios en el sistema oportunamente, de conformidad con lo establecido en el Decreto 1069 de 2015, artículo 2.2.3.4.1.9. "Funciones del administrador del Sistema en la entidad." numeral 5 "Crear, asignar claves de acceso e inactivar dentro del Sistema Único de Gestión e Información Litigiosa del Estado - eKOGUI, a los usuarios de la entidad de conformidad con los instructivos que la Agencia expida para tal fin.", de presentar incovenientes solicitar soporte ante la ANDJE para dar cumplimiento con lo establecido en la norma, dejar evidencia de las solicitudes realizadas.
3. Se recomienda al usuario con rol abogado actualizar la calificación del riesgo con una periodicidad no superior a seis (6) meses a los procesos judiciales, así como cada vez que se profiera una sentencia judicial, de conformidad con lo dispuesto en el Decreto 1069 de 2015, artículo 2.2.3.4.1.10. “Funciones del apoderado.”, numeral 4. Calificar el riesgo en cada uno de los procesos judiciales a su cargo, con una periodicidad no superior a seis (6) meses, así como cada vez que se profiera una sentencia judicial sobre el mismo, de conformidad con la metodología que determine la Agencia Nacional de Defensa Jurídica del Estado.
4. Ajustar en el sistema Ekogui el valor de la provisión contable de los 20 procesos judiciales que la tienen incorrecta de acuerdo con la probabilidad de perder el caso media, baja y remota es “0”. Lo anterior, de conformidad con lo establecido en los literales b) y c) del artículo 7 de la Resolución 353 de 2016 de la ANDJE, así como lo dispuesto en la Resolución No. 0075 de 2017 de la SSF.
5. Se recomienda al usuario con rol abogado dar terminación oportuna a las conciliaciones prejudiciales en el sistema eKogui, de conformidad con lo establecido en el Decreto 1069 de 2015, artículo 2.2.3.4.1.10. "Funciones del apoderado.", numeral 1 "Registrar y actualizar de manera oportuna en el Sistema Único de Gestión e Información Litigiosa del Estado - eKOGUl, las solicitudes de conciliación extrajudicial, los procesos judiciales, y los trámites arbitrales a su cargo. ".
6. En cuanto a las 6 conciliaciones prejudiciales terminadas que se encuentran registrados como activas, se recomienda adelantar las gestiones necesarias ante el soporte eKOGUI, para depurar el sistema.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</si>
</sst>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
  </numFmts>
  <fonts count="18"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9"/>
      <color indexed="81"/>
      <name val="Tahoma"/>
      <family val="2"/>
    </font>
    <font>
      <b/>
      <sz val="9"/>
      <color indexed="81"/>
      <name val="Tahoma"/>
      <family val="2"/>
    </font>
    <font>
      <sz val="11"/>
      <color indexed="8"/>
      <name val="Calibri"/>
      <family val="2"/>
      <charset val="1"/>
    </font>
    <font>
      <sz val="11"/>
      <color rgb="FF000000"/>
      <name val="Calibri"/>
      <family val="2"/>
      <scheme val="minor"/>
    </font>
    <font>
      <sz val="1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00B050"/>
        <bgColor indexed="22"/>
      </patternFill>
    </fill>
    <fill>
      <patternFill patternType="solid">
        <fgColor rgb="FF00B050"/>
        <bgColor indexed="64"/>
      </patternFill>
    </fill>
    <fill>
      <patternFill patternType="solid">
        <fgColor theme="0" tint="-0.14996795556505021"/>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15" fillId="0" borderId="0"/>
  </cellStyleXfs>
  <cellXfs count="130">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applyAlignment="1"/>
    <xf numFmtId="0" fontId="0" fillId="2" borderId="2" xfId="0" applyFill="1" applyBorder="1" applyAlignment="1"/>
    <xf numFmtId="0" fontId="0" fillId="2" borderId="3" xfId="0" applyFill="1" applyBorder="1" applyAlignment="1"/>
    <xf numFmtId="0" fontId="0" fillId="2" borderId="4" xfId="0" applyFill="1" applyBorder="1"/>
    <xf numFmtId="0" fontId="0" fillId="2" borderId="0"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10" xfId="0" applyFont="1" applyFill="1" applyBorder="1" applyAlignment="1">
      <alignment horizontal="center"/>
    </xf>
    <xf numFmtId="0" fontId="2" fillId="3" borderId="9" xfId="0" applyFont="1" applyFill="1" applyBorder="1" applyAlignment="1">
      <alignment horizontal="center"/>
    </xf>
    <xf numFmtId="0" fontId="2" fillId="3" borderId="9" xfId="0" applyFont="1" applyFill="1" applyBorder="1"/>
    <xf numFmtId="0" fontId="2" fillId="3" borderId="11" xfId="0" applyFont="1" applyFill="1" applyBorder="1" applyAlignment="1">
      <alignment horizontal="center"/>
    </xf>
    <xf numFmtId="0" fontId="7" fillId="2" borderId="0" xfId="0" applyFont="1" applyFill="1" applyBorder="1" applyAlignment="1"/>
    <xf numFmtId="0" fontId="0" fillId="2" borderId="0" xfId="0" applyFill="1" applyBorder="1" applyAlignment="1"/>
    <xf numFmtId="0" fontId="5" fillId="3" borderId="0" xfId="0" applyFont="1" applyFill="1"/>
    <xf numFmtId="0" fontId="0" fillId="2" borderId="1" xfId="0" applyFill="1" applyBorder="1"/>
    <xf numFmtId="0" fontId="0" fillId="2" borderId="2" xfId="0" applyFill="1" applyBorder="1"/>
    <xf numFmtId="0" fontId="0" fillId="2" borderId="3" xfId="0" applyFill="1" applyBorder="1"/>
    <xf numFmtId="0" fontId="0" fillId="2" borderId="0" xfId="0" applyFill="1" applyBorder="1" applyAlignment="1">
      <alignment vertical="center" wrapText="1"/>
    </xf>
    <xf numFmtId="0" fontId="0" fillId="2" borderId="5" xfId="0" applyFill="1" applyBorder="1" applyAlignment="1">
      <alignment vertical="center" wrapText="1"/>
    </xf>
    <xf numFmtId="0" fontId="9" fillId="2" borderId="0" xfId="0" applyFont="1" applyFill="1" applyBorder="1" applyAlignment="1">
      <alignment vertical="center"/>
    </xf>
    <xf numFmtId="0" fontId="9" fillId="2" borderId="0" xfId="0" applyFont="1" applyFill="1" applyBorder="1" applyAlignment="1"/>
    <xf numFmtId="0" fontId="0" fillId="2" borderId="9" xfId="0" applyFill="1" applyBorder="1" applyAlignment="1">
      <alignment vertical="center" wrapText="1"/>
    </xf>
    <xf numFmtId="0" fontId="2" fillId="3" borderId="19"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Border="1" applyAlignment="1">
      <alignment horizontal="center"/>
    </xf>
    <xf numFmtId="0" fontId="5" fillId="2" borderId="0" xfId="0" applyFont="1" applyFill="1"/>
    <xf numFmtId="0" fontId="0" fillId="0" borderId="9" xfId="0" applyBorder="1"/>
    <xf numFmtId="0" fontId="3" fillId="0" borderId="0" xfId="0" applyFont="1"/>
    <xf numFmtId="0" fontId="0" fillId="0" borderId="0" xfId="0" applyBorder="1" applyAlignment="1"/>
    <xf numFmtId="0" fontId="6" fillId="0" borderId="0" xfId="0" applyFont="1" applyBorder="1" applyAlignment="1"/>
    <xf numFmtId="0" fontId="6" fillId="0" borderId="5" xfId="0" applyFont="1" applyBorder="1" applyAlignment="1"/>
    <xf numFmtId="14" fontId="0" fillId="2" borderId="0" xfId="0" applyNumberFormat="1" applyFill="1"/>
    <xf numFmtId="0" fontId="0" fillId="0" borderId="9" xfId="0" applyFill="1" applyBorder="1"/>
    <xf numFmtId="0" fontId="2" fillId="3" borderId="9" xfId="0" applyFont="1" applyFill="1" applyBorder="1" applyAlignment="1">
      <alignment horizontal="center" vertical="center"/>
    </xf>
    <xf numFmtId="0" fontId="0" fillId="0" borderId="16" xfId="0" applyBorder="1"/>
    <xf numFmtId="0" fontId="10" fillId="0" borderId="15" xfId="0" applyFont="1" applyBorder="1"/>
    <xf numFmtId="0" fontId="10" fillId="2" borderId="17" xfId="0" applyFont="1" applyFill="1" applyBorder="1"/>
    <xf numFmtId="0" fontId="0" fillId="2" borderId="18" xfId="0" applyFill="1" applyBorder="1"/>
    <xf numFmtId="0" fontId="0" fillId="2" borderId="0" xfId="0" applyFill="1" applyBorder="1" applyProtection="1">
      <protection locked="0"/>
    </xf>
    <xf numFmtId="0" fontId="0" fillId="0" borderId="0" xfId="0" applyBorder="1" applyProtection="1">
      <protection locked="0"/>
    </xf>
    <xf numFmtId="0" fontId="4" fillId="2" borderId="0" xfId="0" applyFont="1" applyFill="1" applyBorder="1"/>
    <xf numFmtId="0" fontId="4" fillId="0" borderId="0" xfId="0" applyFont="1"/>
    <xf numFmtId="0" fontId="4" fillId="2" borderId="0" xfId="0" applyFont="1" applyFill="1"/>
    <xf numFmtId="0" fontId="0" fillId="2" borderId="9" xfId="0" applyFill="1" applyBorder="1" applyAlignment="1">
      <alignment vertical="center"/>
    </xf>
    <xf numFmtId="0" fontId="0" fillId="2" borderId="0" xfId="0" applyFill="1" applyBorder="1" applyAlignment="1">
      <alignment wrapText="1"/>
    </xf>
    <xf numFmtId="0" fontId="0" fillId="2" borderId="22" xfId="0" applyFill="1" applyBorder="1" applyAlignment="1">
      <alignment horizontal="center" vertical="center"/>
    </xf>
    <xf numFmtId="0" fontId="0" fillId="2" borderId="14" xfId="0" applyFill="1" applyBorder="1" applyAlignment="1">
      <alignment wrapText="1"/>
    </xf>
    <xf numFmtId="0" fontId="0" fillId="2" borderId="17" xfId="0" applyFill="1" applyBorder="1" applyAlignment="1">
      <alignment wrapText="1"/>
    </xf>
    <xf numFmtId="0" fontId="0" fillId="2" borderId="18" xfId="0" applyFill="1" applyBorder="1" applyAlignment="1">
      <alignment wrapText="1"/>
    </xf>
    <xf numFmtId="0" fontId="10" fillId="2" borderId="21" xfId="0" applyFont="1" applyFill="1" applyBorder="1" applyAlignment="1">
      <alignment wrapText="1"/>
    </xf>
    <xf numFmtId="14" fontId="5" fillId="2" borderId="5" xfId="0" applyNumberFormat="1" applyFont="1" applyFill="1" applyBorder="1"/>
    <xf numFmtId="0" fontId="0" fillId="2" borderId="13" xfId="0" applyFill="1" applyBorder="1" applyAlignment="1" applyProtection="1">
      <alignment wrapText="1"/>
      <protection hidden="1"/>
    </xf>
    <xf numFmtId="0" fontId="15" fillId="0" borderId="0" xfId="2"/>
    <xf numFmtId="14" fontId="15" fillId="0" borderId="0" xfId="2" applyNumberFormat="1" applyFont="1"/>
    <xf numFmtId="164" fontId="15" fillId="0" borderId="0" xfId="2" applyNumberFormat="1"/>
    <xf numFmtId="0" fontId="15" fillId="4" borderId="0" xfId="2" applyFont="1" applyFill="1"/>
    <xf numFmtId="0" fontId="15" fillId="4" borderId="0" xfId="2" applyFont="1" applyFill="1" applyBorder="1"/>
    <xf numFmtId="0" fontId="15" fillId="4" borderId="0" xfId="2" applyFont="1" applyFill="1" applyAlignment="1">
      <alignment vertical="center"/>
    </xf>
    <xf numFmtId="0" fontId="15" fillId="5" borderId="0" xfId="2" applyFill="1"/>
    <xf numFmtId="0" fontId="0" fillId="5" borderId="0" xfId="0" applyFill="1"/>
    <xf numFmtId="0" fontId="16" fillId="5" borderId="0" xfId="0" applyFont="1" applyFill="1" applyAlignment="1">
      <alignment vertical="center"/>
    </xf>
    <xf numFmtId="0" fontId="0" fillId="6" borderId="9" xfId="0" applyFill="1" applyBorder="1" applyProtection="1">
      <protection locked="0"/>
    </xf>
    <xf numFmtId="14" fontId="0" fillId="6" borderId="9" xfId="0" applyNumberFormat="1" applyFill="1" applyBorder="1" applyProtection="1">
      <protection locked="0"/>
    </xf>
    <xf numFmtId="0" fontId="0" fillId="0" borderId="11" xfId="0" applyFill="1" applyBorder="1" applyProtection="1">
      <protection hidden="1"/>
    </xf>
    <xf numFmtId="0" fontId="0" fillId="2" borderId="0" xfId="0" applyFill="1" applyBorder="1" applyAlignment="1">
      <alignment horizontal="center"/>
    </xf>
    <xf numFmtId="0" fontId="4" fillId="2" borderId="0" xfId="0" applyFont="1" applyFill="1" applyProtection="1"/>
    <xf numFmtId="0" fontId="0" fillId="2" borderId="0" xfId="0" applyFill="1" applyBorder="1" applyAlignment="1" applyProtection="1"/>
    <xf numFmtId="0" fontId="0" fillId="0" borderId="0" xfId="0" applyBorder="1" applyProtection="1"/>
    <xf numFmtId="0" fontId="0" fillId="2" borderId="5" xfId="0" applyFill="1" applyBorder="1" applyProtection="1"/>
    <xf numFmtId="0" fontId="0" fillId="0" borderId="0" xfId="0" applyFill="1" applyProtection="1"/>
    <xf numFmtId="0" fontId="0" fillId="0" borderId="9" xfId="0" applyBorder="1" applyAlignment="1">
      <alignment horizontal="center" vertical="center"/>
    </xf>
    <xf numFmtId="9" fontId="0" fillId="0" borderId="9" xfId="1" applyFont="1" applyBorder="1" applyAlignment="1">
      <alignment horizontal="center" vertical="center"/>
    </xf>
    <xf numFmtId="0" fontId="0" fillId="2" borderId="0" xfId="0" applyFill="1" applyBorder="1" applyAlignment="1">
      <alignment horizontal="center" vertical="center"/>
    </xf>
    <xf numFmtId="0" fontId="17" fillId="0" borderId="0" xfId="0" applyFont="1" applyBorder="1" applyAlignment="1">
      <alignment horizontal="center"/>
    </xf>
    <xf numFmtId="0" fontId="2" fillId="3" borderId="19" xfId="0" applyFont="1" applyFill="1" applyBorder="1" applyAlignment="1">
      <alignment horizontal="center"/>
    </xf>
    <xf numFmtId="0" fontId="12" fillId="0" borderId="4" xfId="0" applyFont="1" applyBorder="1" applyAlignment="1">
      <alignment horizontal="center"/>
    </xf>
    <xf numFmtId="0" fontId="12" fillId="0" borderId="0" xfId="0" applyFont="1" applyBorder="1" applyAlignment="1">
      <alignment horizontal="center"/>
    </xf>
    <xf numFmtId="0" fontId="12" fillId="0" borderId="5" xfId="0" applyFont="1" applyBorder="1" applyAlignment="1">
      <alignment horizontal="center"/>
    </xf>
    <xf numFmtId="0" fontId="0" fillId="0" borderId="0" xfId="0" applyBorder="1" applyAlignment="1">
      <alignment horizontal="left" wrapText="1"/>
    </xf>
    <xf numFmtId="0" fontId="7" fillId="2" borderId="4" xfId="0" applyFont="1" applyFill="1" applyBorder="1" applyAlignment="1">
      <alignment horizontal="center"/>
    </xf>
    <xf numFmtId="0" fontId="7" fillId="2" borderId="0" xfId="0" applyFont="1" applyFill="1" applyBorder="1" applyAlignment="1">
      <alignment horizontal="center"/>
    </xf>
    <xf numFmtId="0" fontId="7" fillId="2" borderId="5" xfId="0" applyFont="1" applyFill="1" applyBorder="1" applyAlignment="1">
      <alignment horizontal="center"/>
    </xf>
    <xf numFmtId="0" fontId="0" fillId="6" borderId="12" xfId="0" applyFill="1" applyBorder="1" applyAlignment="1" applyProtection="1">
      <alignment horizontal="left" vertical="top" wrapText="1"/>
      <protection locked="0"/>
    </xf>
    <xf numFmtId="0" fontId="0" fillId="6" borderId="25" xfId="0" applyFill="1" applyBorder="1" applyAlignment="1" applyProtection="1">
      <alignment horizontal="left" vertical="top"/>
      <protection locked="0"/>
    </xf>
    <xf numFmtId="0" fontId="0" fillId="6" borderId="26" xfId="0" applyFill="1" applyBorder="1" applyAlignment="1" applyProtection="1">
      <alignment horizontal="left" vertical="top"/>
      <protection locked="0"/>
    </xf>
    <xf numFmtId="0" fontId="0" fillId="2" borderId="23" xfId="0" applyFill="1" applyBorder="1" applyAlignment="1">
      <alignment horizontal="center"/>
    </xf>
    <xf numFmtId="0" fontId="0" fillId="2" borderId="24" xfId="0" applyFill="1" applyBorder="1" applyAlignment="1">
      <alignment horizontal="center"/>
    </xf>
    <xf numFmtId="0" fontId="0" fillId="2" borderId="0" xfId="0" applyFill="1" applyBorder="1" applyAlignment="1">
      <alignment horizontal="center"/>
    </xf>
    <xf numFmtId="0" fontId="8" fillId="2"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0" fillId="6" borderId="13" xfId="0" applyFill="1" applyBorder="1" applyAlignment="1" applyProtection="1">
      <alignment horizontal="left" vertical="top" wrapText="1"/>
      <protection locked="0"/>
    </xf>
    <xf numFmtId="0" fontId="0" fillId="6" borderId="21" xfId="0" applyFill="1" applyBorder="1" applyAlignment="1" applyProtection="1">
      <alignment horizontal="left" vertical="top"/>
      <protection locked="0"/>
    </xf>
    <xf numFmtId="0" fontId="0" fillId="6" borderId="14" xfId="0" applyFill="1" applyBorder="1" applyAlignment="1" applyProtection="1">
      <alignment horizontal="left" vertical="top"/>
      <protection locked="0"/>
    </xf>
    <xf numFmtId="0" fontId="0" fillId="6" borderId="15" xfId="0" applyFill="1" applyBorder="1" applyAlignment="1" applyProtection="1">
      <alignment horizontal="left" vertical="top"/>
      <protection locked="0"/>
    </xf>
    <xf numFmtId="0" fontId="0" fillId="6" borderId="0" xfId="0" applyFill="1" applyBorder="1" applyAlignment="1" applyProtection="1">
      <alignment horizontal="left" vertical="top"/>
      <protection locked="0"/>
    </xf>
    <xf numFmtId="0" fontId="0" fillId="6" borderId="16" xfId="0" applyFill="1" applyBorder="1" applyAlignment="1" applyProtection="1">
      <alignment horizontal="left" vertical="top"/>
      <protection locked="0"/>
    </xf>
    <xf numFmtId="0" fontId="0" fillId="6" borderId="17" xfId="0" applyFill="1" applyBorder="1" applyAlignment="1" applyProtection="1">
      <alignment horizontal="left" vertical="top"/>
      <protection locked="0"/>
    </xf>
    <xf numFmtId="0" fontId="0" fillId="6" borderId="20" xfId="0" applyFill="1" applyBorder="1" applyAlignment="1" applyProtection="1">
      <alignment horizontal="left" vertical="top"/>
      <protection locked="0"/>
    </xf>
    <xf numFmtId="0" fontId="0" fillId="6" borderId="18" xfId="0" applyFill="1" applyBorder="1" applyAlignment="1" applyProtection="1">
      <alignment horizontal="left" vertical="top"/>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6" borderId="9" xfId="0" applyFill="1" applyBorder="1" applyAlignment="1" applyProtection="1">
      <alignment horizontal="left" vertical="top" wrapText="1"/>
      <protection locked="0"/>
    </xf>
    <xf numFmtId="0" fontId="0" fillId="6" borderId="9" xfId="0" applyFill="1" applyBorder="1" applyAlignment="1" applyProtection="1">
      <alignment horizontal="left" vertical="top"/>
      <protection locked="0"/>
    </xf>
    <xf numFmtId="0" fontId="9" fillId="2" borderId="0" xfId="0" applyFont="1" applyFill="1" applyBorder="1" applyAlignment="1">
      <alignment horizontal="center" vertical="center"/>
    </xf>
    <xf numFmtId="0" fontId="0" fillId="2" borderId="21" xfId="0" applyFill="1" applyBorder="1" applyAlignment="1">
      <alignment horizontal="left" wrapText="1"/>
    </xf>
    <xf numFmtId="0" fontId="0" fillId="0" borderId="0" xfId="0" applyBorder="1" applyAlignment="1">
      <alignment horizontal="center"/>
    </xf>
    <xf numFmtId="0" fontId="0" fillId="6" borderId="23" xfId="0" applyFill="1" applyBorder="1" applyAlignment="1" applyProtection="1">
      <alignment horizontal="center" vertical="top"/>
      <protection locked="0"/>
    </xf>
    <xf numFmtId="0" fontId="0" fillId="6" borderId="27" xfId="0" applyFill="1" applyBorder="1" applyAlignment="1" applyProtection="1">
      <alignment horizontal="center" vertical="top"/>
      <protection locked="0"/>
    </xf>
    <xf numFmtId="0" fontId="0" fillId="6" borderId="24" xfId="0" applyFill="1" applyBorder="1" applyAlignment="1" applyProtection="1">
      <alignment horizontal="center" vertical="top"/>
      <protection locked="0"/>
    </xf>
    <xf numFmtId="0" fontId="6" fillId="0" borderId="0" xfId="0" applyFont="1" applyBorder="1" applyAlignment="1">
      <alignment horizontal="center"/>
    </xf>
  </cellXfs>
  <cellStyles count="3">
    <cellStyle name="Excel Built-in Normal" xfId="2"/>
    <cellStyle name="Normal" xfId="0" builtinId="0"/>
    <cellStyle name="Porcentaje" xfId="1" builtinId="5"/>
  </cellStyles>
  <dxfs count="4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Resumen General'!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Principal!A1"/></Relationships>
</file>

<file path=xl/drawings/_rels/drawing3.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5.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ABOGADO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6.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BOGAD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7</xdr:col>
      <xdr:colOff>57149</xdr:colOff>
      <xdr:row>11</xdr:row>
      <xdr:rowOff>152399</xdr:rowOff>
    </xdr:from>
    <xdr:to>
      <xdr:col>9</xdr:col>
      <xdr:colOff>333149</xdr:colOff>
      <xdr:row>14</xdr:row>
      <xdr:rowOff>12899</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16372F7-FB45-41D9-9DAD-AD321D2DD2BC}"/>
            </a:ext>
          </a:extLst>
        </xdr:cNvPr>
        <xdr:cNvSpPr/>
      </xdr:nvSpPr>
      <xdr:spPr>
        <a:xfrm>
          <a:off x="5391149" y="235267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609599</xdr:colOff>
      <xdr:row>12</xdr:row>
      <xdr:rowOff>9524</xdr:rowOff>
    </xdr:from>
    <xdr:to>
      <xdr:col>4</xdr:col>
      <xdr:colOff>123599</xdr:colOff>
      <xdr:row>14</xdr:row>
      <xdr:rowOff>60524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94357569-C71E-4747-A766-4B3852BF2112}"/>
            </a:ext>
          </a:extLst>
        </xdr:cNvPr>
        <xdr:cNvSpPr/>
      </xdr:nvSpPr>
      <xdr:spPr>
        <a:xfrm>
          <a:off x="1371599" y="24002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C7F8B5F-B37F-4E2E-AED1-07C4D620A95B}"/>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3EB68510-7856-4F2D-832E-509E3EDFB416}"/>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6A87C818-C2AA-497F-8873-0E388CF3AE51}"/>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333374</xdr:colOff>
      <xdr:row>11</xdr:row>
      <xdr:rowOff>171449</xdr:rowOff>
    </xdr:from>
    <xdr:to>
      <xdr:col>6</xdr:col>
      <xdr:colOff>609374</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D4429412-385D-49D3-84EB-BC4DF5A45465}"/>
            </a:ext>
          </a:extLst>
        </xdr:cNvPr>
        <xdr:cNvSpPr/>
      </xdr:nvSpPr>
      <xdr:spPr>
        <a:xfrm>
          <a:off x="3381374" y="23717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11</xdr:col>
      <xdr:colOff>19049</xdr:colOff>
      <xdr:row>10</xdr:row>
      <xdr:rowOff>9524</xdr:rowOff>
    </xdr:from>
    <xdr:to>
      <xdr:col>13</xdr:col>
      <xdr:colOff>295049</xdr:colOff>
      <xdr:row>12</xdr:row>
      <xdr:rowOff>60524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E8819747-9B47-4905-B7B6-1CC75364363A}"/>
            </a:ext>
          </a:extLst>
        </xdr:cNvPr>
        <xdr:cNvSpPr/>
      </xdr:nvSpPr>
      <xdr:spPr>
        <a:xfrm>
          <a:off x="8401049" y="201929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95250</xdr:colOff>
      <xdr:row>1</xdr:row>
      <xdr:rowOff>85725</xdr:rowOff>
    </xdr:from>
    <xdr:to>
      <xdr:col>4</xdr:col>
      <xdr:colOff>1535250</xdr:colOff>
      <xdr:row>3</xdr:row>
      <xdr:rowOff>50325</xdr:rowOff>
    </xdr:to>
    <xdr:sp macro="" textlink="">
      <xdr:nvSpPr>
        <xdr:cNvPr id="8" name="Rectángulo: esquinas redondeadas 7">
          <a:hlinkClick xmlns:r="http://schemas.openxmlformats.org/officeDocument/2006/relationships" r:id="rId1"/>
          <a:extLst>
            <a:ext uri="{FF2B5EF4-FFF2-40B4-BE49-F238E27FC236}">
              <a16:creationId xmlns:a16="http://schemas.microsoft.com/office/drawing/2014/main" id="{C34AF220-CE73-4F1F-AAAF-03B93BBF3C8A}"/>
            </a:ext>
          </a:extLst>
        </xdr:cNvPr>
        <xdr:cNvSpPr/>
      </xdr:nvSpPr>
      <xdr:spPr>
        <a:xfrm>
          <a:off x="55816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1695450</xdr:colOff>
      <xdr:row>1</xdr:row>
      <xdr:rowOff>85725</xdr:rowOff>
    </xdr:from>
    <xdr:to>
      <xdr:col>4</xdr:col>
      <xdr:colOff>3135450</xdr:colOff>
      <xdr:row>3</xdr:row>
      <xdr:rowOff>50325</xdr:rowOff>
    </xdr:to>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9B57F36E-CDBC-4D62-9F51-AE2ADA5D60BC}"/>
            </a:ext>
          </a:extLst>
        </xdr:cNvPr>
        <xdr:cNvSpPr/>
      </xdr:nvSpPr>
      <xdr:spPr>
        <a:xfrm>
          <a:off x="71818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1</xdr:col>
      <xdr:colOff>1609725</xdr:colOff>
      <xdr:row>1</xdr:row>
      <xdr:rowOff>85725</xdr:rowOff>
    </xdr:from>
    <xdr:to>
      <xdr:col>3</xdr:col>
      <xdr:colOff>154125</xdr:colOff>
      <xdr:row>3</xdr:row>
      <xdr:rowOff>50325</xdr:rowOff>
    </xdr:to>
    <xdr:sp macro="" textlink="">
      <xdr:nvSpPr>
        <xdr:cNvPr id="10" name="Rectángulo: esquinas redondeadas 9">
          <a:hlinkClick xmlns:r="http://schemas.openxmlformats.org/officeDocument/2006/relationships" r:id="rId3"/>
          <a:extLst>
            <a:ext uri="{FF2B5EF4-FFF2-40B4-BE49-F238E27FC236}">
              <a16:creationId xmlns:a16="http://schemas.microsoft.com/office/drawing/2014/main" id="{266637D4-7F2F-4052-9527-4AC105CEF1EE}"/>
            </a:ext>
          </a:extLst>
        </xdr:cNvPr>
        <xdr:cNvSpPr/>
      </xdr:nvSpPr>
      <xdr:spPr>
        <a:xfrm>
          <a:off x="237172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5</xdr:col>
      <xdr:colOff>257175</xdr:colOff>
      <xdr:row>1</xdr:row>
      <xdr:rowOff>123825</xdr:rowOff>
    </xdr:from>
    <xdr:to>
      <xdr:col>5</xdr:col>
      <xdr:colOff>1697175</xdr:colOff>
      <xdr:row>3</xdr:row>
      <xdr:rowOff>88425</xdr:rowOff>
    </xdr:to>
    <xdr:sp macro="" textlink="">
      <xdr:nvSpPr>
        <xdr:cNvPr id="11" name="Rectángulo: esquinas redondeadas 10">
          <a:hlinkClick xmlns:r="http://schemas.openxmlformats.org/officeDocument/2006/relationships" r:id="rId4"/>
          <a:extLst>
            <a:ext uri="{FF2B5EF4-FFF2-40B4-BE49-F238E27FC236}">
              <a16:creationId xmlns:a16="http://schemas.microsoft.com/office/drawing/2014/main" id="{5B936FB9-EEA3-4AF2-9F42-D0847D220075}"/>
            </a:ext>
          </a:extLst>
        </xdr:cNvPr>
        <xdr:cNvSpPr/>
      </xdr:nvSpPr>
      <xdr:spPr>
        <a:xfrm>
          <a:off x="9972675" y="314325"/>
          <a:ext cx="1440000" cy="3456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28575</xdr:colOff>
      <xdr:row>1</xdr:row>
      <xdr:rowOff>85725</xdr:rowOff>
    </xdr:from>
    <xdr:to>
      <xdr:col>1</xdr:col>
      <xdr:colOff>1468575</xdr:colOff>
      <xdr:row>3</xdr:row>
      <xdr:rowOff>50325</xdr:rowOff>
    </xdr:to>
    <xdr:sp macro="" textlink="">
      <xdr:nvSpPr>
        <xdr:cNvPr id="12" name="Rectángulo: esquinas redondeadas 11">
          <a:hlinkClick xmlns:r="http://schemas.openxmlformats.org/officeDocument/2006/relationships" r:id="rId5"/>
          <a:extLst>
            <a:ext uri="{FF2B5EF4-FFF2-40B4-BE49-F238E27FC236}">
              <a16:creationId xmlns:a16="http://schemas.microsoft.com/office/drawing/2014/main" id="{7A028041-1A1C-44D0-B77D-E925300D0E5C}"/>
            </a:ext>
          </a:extLst>
        </xdr:cNvPr>
        <xdr:cNvSpPr/>
      </xdr:nvSpPr>
      <xdr:spPr>
        <a:xfrm>
          <a:off x="79057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3</xdr:col>
      <xdr:colOff>323850</xdr:colOff>
      <xdr:row>1</xdr:row>
      <xdr:rowOff>85725</xdr:rowOff>
    </xdr:from>
    <xdr:to>
      <xdr:col>3</xdr:col>
      <xdr:colOff>1763850</xdr:colOff>
      <xdr:row>3</xdr:row>
      <xdr:rowOff>50325</xdr:rowOff>
    </xdr:to>
    <xdr:sp macro="" textlink="">
      <xdr:nvSpPr>
        <xdr:cNvPr id="13" name="Rectángulo: esquinas redondeadas 12">
          <a:hlinkClick xmlns:r="http://schemas.openxmlformats.org/officeDocument/2006/relationships" r:id="rId6"/>
          <a:extLst>
            <a:ext uri="{FF2B5EF4-FFF2-40B4-BE49-F238E27FC236}">
              <a16:creationId xmlns:a16="http://schemas.microsoft.com/office/drawing/2014/main" id="{720246E6-5665-4CDC-AD25-2EA51D7E6820}"/>
            </a:ext>
          </a:extLst>
        </xdr:cNvPr>
        <xdr:cNvSpPr/>
      </xdr:nvSpPr>
      <xdr:spPr>
        <a:xfrm>
          <a:off x="39814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B929932-1354-4CF5-BB7B-7FEA1B957825}"/>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792F481F-D124-448F-A9B5-427F21201D9D}"/>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A48CE2A6-65F2-4F8D-9FDB-13DC5AAEF1B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DC7631A3-BA7F-49C3-90DF-3541CFE9AB00}"/>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74972ECD-BC1B-45B6-8D73-0373FCB4D4BD}"/>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4E6AEA95-5FFC-485A-BA6F-07EEF53758BB}"/>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1924049</xdr:colOff>
      <xdr:row>2</xdr:row>
      <xdr:rowOff>28575</xdr:rowOff>
    </xdr:from>
    <xdr:to>
      <xdr:col>5</xdr:col>
      <xdr:colOff>3364049</xdr:colOff>
      <xdr:row>3</xdr:row>
      <xdr:rowOff>162075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E7BD768-FD4D-4421-9177-DBDC698FCAAC}"/>
            </a:ext>
          </a:extLst>
        </xdr:cNvPr>
        <xdr:cNvSpPr/>
      </xdr:nvSpPr>
      <xdr:spPr>
        <a:xfrm>
          <a:off x="7172324"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5</xdr:col>
      <xdr:colOff>314325</xdr:colOff>
      <xdr:row>2</xdr:row>
      <xdr:rowOff>38100</xdr:rowOff>
    </xdr:from>
    <xdr:to>
      <xdr:col>5</xdr:col>
      <xdr:colOff>1754325</xdr:colOff>
      <xdr:row>3</xdr:row>
      <xdr:rowOff>171600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6DAEE14-B062-4020-A2A8-D70F565098FF}"/>
            </a:ext>
          </a:extLst>
        </xdr:cNvPr>
        <xdr:cNvSpPr/>
      </xdr:nvSpPr>
      <xdr:spPr>
        <a:xfrm>
          <a:off x="5562600"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1266824</xdr:colOff>
      <xdr:row>2</xdr:row>
      <xdr:rowOff>57150</xdr:rowOff>
    </xdr:from>
    <xdr:to>
      <xdr:col>2</xdr:col>
      <xdr:colOff>2706824</xdr:colOff>
      <xdr:row>4</xdr:row>
      <xdr:rowOff>150</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3A695291-5DD1-4FFB-BA8D-8EFD959FD777}"/>
            </a:ext>
          </a:extLst>
        </xdr:cNvPr>
        <xdr:cNvSpPr/>
      </xdr:nvSpPr>
      <xdr:spPr>
        <a:xfrm>
          <a:off x="2285999" y="4476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Abogados</a:t>
          </a:r>
          <a:endParaRPr lang="es-CO" sz="1400">
            <a:solidFill>
              <a:schemeClr val="tx1"/>
            </a:solidFill>
          </a:endParaRPr>
        </a:p>
      </xdr:txBody>
    </xdr:sp>
    <xdr:clientData/>
  </xdr:twoCellAnchor>
  <xdr:twoCellAnchor>
    <xdr:from>
      <xdr:col>6</xdr:col>
      <xdr:colOff>123824</xdr:colOff>
      <xdr:row>2</xdr:row>
      <xdr:rowOff>19050</xdr:rowOff>
    </xdr:from>
    <xdr:to>
      <xdr:col>7</xdr:col>
      <xdr:colOff>811349</xdr:colOff>
      <xdr:row>3</xdr:row>
      <xdr:rowOff>152550</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A38DC371-40C2-4A29-9CEB-A9FC8940FDAB}"/>
            </a:ext>
          </a:extLst>
        </xdr:cNvPr>
        <xdr:cNvSpPr/>
      </xdr:nvSpPr>
      <xdr:spPr>
        <a:xfrm>
          <a:off x="8848724" y="40957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381000</xdr:colOff>
      <xdr:row>2</xdr:row>
      <xdr:rowOff>66675</xdr:rowOff>
    </xdr:from>
    <xdr:to>
      <xdr:col>2</xdr:col>
      <xdr:colOff>1059000</xdr:colOff>
      <xdr:row>4</xdr:row>
      <xdr:rowOff>9675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D19A0C14-F8BF-429B-ADCB-F41AA45C264F}"/>
            </a:ext>
          </a:extLst>
        </xdr:cNvPr>
        <xdr:cNvSpPr/>
      </xdr:nvSpPr>
      <xdr:spPr>
        <a:xfrm>
          <a:off x="638175" y="4572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2924174</xdr:colOff>
      <xdr:row>2</xdr:row>
      <xdr:rowOff>47625</xdr:rowOff>
    </xdr:from>
    <xdr:to>
      <xdr:col>5</xdr:col>
      <xdr:colOff>135074</xdr:colOff>
      <xdr:row>3</xdr:row>
      <xdr:rowOff>181125</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FE5D590D-DCCB-4A8F-9D8E-336034E5C955}"/>
            </a:ext>
          </a:extLst>
        </xdr:cNvPr>
        <xdr:cNvSpPr/>
      </xdr:nvSpPr>
      <xdr:spPr>
        <a:xfrm>
          <a:off x="3943349"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4D0F5EF7-9EA2-4A8B-873E-9C515AEF074D}"/>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20E335E-33A3-4D14-B759-A3B393177C26}"/>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DCF7BA50-BD9F-4DC4-92A1-0BE7BF1C0D4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EC22933C-CE88-4CD8-9948-7B7780A54BD9}"/>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E76E0530-9FB4-4403-8D94-7CEA62A41E68}"/>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56595194-6A0B-44E9-95A0-1D6271C247BF}"/>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92B04ECD-0CEC-42E3-B145-59EB780B3CF1}"/>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B1F59FC8-0C0C-4332-860F-D6B518441040}"/>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E33B6DE-FFBF-4E4D-B96B-31CAFFC248D6}"/>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203A722-9893-4800-A0CD-685870A05466}"/>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9F53C0C0-05B7-44B4-A45D-7565FDE16B50}"/>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59DC2B8-8EBA-45CA-B392-44937B6A08D0}"/>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2CC77A45-427A-4F8A-8A3C-4175418635FE}"/>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8BD018B-7F83-4DAE-82D5-DC61A901F0F3}"/>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C7B81333-7708-4DE4-8EBC-772D62DB6770}"/>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1E68CAEE-D6EC-476E-9C8F-9D3DD7AF1133}"/>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1D5D93B2-79DF-4FE8-89AE-83131236828C}"/>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F04F382-3C27-4803-9420-0DA7D2AC7F05}"/>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95400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BEC85F08-173E-4713-B5A6-72F06DDCAF2D}"/>
            </a:ext>
          </a:extLst>
        </xdr:cNvPr>
        <xdr:cNvSpPr/>
      </xdr:nvSpPr>
      <xdr:spPr>
        <a:xfrm>
          <a:off x="7153275" y="20002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1:O18"/>
  <sheetViews>
    <sheetView showGridLines="0" workbookViewId="0"/>
  </sheetViews>
  <sheetFormatPr baseColWidth="10" defaultRowHeight="15" x14ac:dyDescent="0.25"/>
  <sheetData>
    <row r="1" spans="2:15" ht="15.75" thickBot="1" x14ac:dyDescent="0.3"/>
    <row r="2" spans="2:15" x14ac:dyDescent="0.25">
      <c r="B2" s="2"/>
      <c r="C2" s="3"/>
      <c r="D2" s="3"/>
      <c r="E2" s="3"/>
      <c r="F2" s="3"/>
      <c r="G2" s="3"/>
      <c r="H2" s="3"/>
      <c r="I2" s="3"/>
      <c r="J2" s="3"/>
      <c r="K2" s="3"/>
      <c r="L2" s="3"/>
      <c r="M2" s="3"/>
      <c r="N2" s="3"/>
      <c r="O2" s="4"/>
    </row>
    <row r="3" spans="2:15" ht="23.25" x14ac:dyDescent="0.35">
      <c r="B3" s="92" t="s">
        <v>75</v>
      </c>
      <c r="C3" s="93"/>
      <c r="D3" s="93"/>
      <c r="E3" s="93"/>
      <c r="F3" s="93"/>
      <c r="G3" s="93"/>
      <c r="H3" s="93"/>
      <c r="I3" s="93"/>
      <c r="J3" s="93"/>
      <c r="K3" s="93"/>
      <c r="L3" s="93"/>
      <c r="M3" s="93"/>
      <c r="N3" s="93"/>
      <c r="O3" s="94"/>
    </row>
    <row r="4" spans="2:15" ht="23.25" x14ac:dyDescent="0.35">
      <c r="B4" s="92" t="s">
        <v>11</v>
      </c>
      <c r="C4" s="93"/>
      <c r="D4" s="93"/>
      <c r="E4" s="93"/>
      <c r="F4" s="93"/>
      <c r="G4" s="93"/>
      <c r="H4" s="93"/>
      <c r="I4" s="93"/>
      <c r="J4" s="93"/>
      <c r="K4" s="93"/>
      <c r="L4" s="93"/>
      <c r="M4" s="93"/>
      <c r="N4" s="93"/>
      <c r="O4" s="94"/>
    </row>
    <row r="5" spans="2:15" x14ac:dyDescent="0.25">
      <c r="B5" s="5"/>
      <c r="C5" s="6"/>
      <c r="D5" s="6"/>
      <c r="E5" s="6"/>
      <c r="F5" s="6"/>
      <c r="G5" s="6"/>
      <c r="H5" s="6"/>
      <c r="I5" s="6"/>
      <c r="J5" s="6"/>
      <c r="K5" s="6"/>
      <c r="L5" s="6"/>
      <c r="M5" s="6"/>
      <c r="N5" s="6"/>
      <c r="O5" s="7"/>
    </row>
    <row r="6" spans="2:15" x14ac:dyDescent="0.25">
      <c r="B6" s="5"/>
      <c r="C6" s="95" t="s">
        <v>87</v>
      </c>
      <c r="D6" s="95"/>
      <c r="E6" s="95"/>
      <c r="F6" s="95"/>
      <c r="G6" s="95"/>
      <c r="H6" s="95"/>
      <c r="I6" s="95"/>
      <c r="J6" s="95"/>
      <c r="K6" s="95"/>
      <c r="L6" s="95"/>
      <c r="M6" s="95"/>
      <c r="N6" s="95"/>
      <c r="O6" s="7"/>
    </row>
    <row r="7" spans="2:15" x14ac:dyDescent="0.25">
      <c r="B7" s="5"/>
      <c r="C7" s="95"/>
      <c r="D7" s="95"/>
      <c r="E7" s="95"/>
      <c r="F7" s="95"/>
      <c r="G7" s="95"/>
      <c r="H7" s="95"/>
      <c r="I7" s="95"/>
      <c r="J7" s="95"/>
      <c r="K7" s="95"/>
      <c r="L7" s="95"/>
      <c r="M7" s="95"/>
      <c r="N7" s="95"/>
      <c r="O7" s="7"/>
    </row>
    <row r="8" spans="2:15" x14ac:dyDescent="0.25">
      <c r="B8" s="5"/>
      <c r="C8" s="6"/>
      <c r="D8" s="6"/>
      <c r="E8" s="6"/>
      <c r="F8" s="6"/>
      <c r="G8" s="6"/>
      <c r="H8" s="6"/>
      <c r="I8" s="6"/>
      <c r="J8" s="6"/>
      <c r="K8" s="6"/>
      <c r="L8" s="6"/>
      <c r="M8" s="6"/>
      <c r="N8" s="6"/>
      <c r="O8" s="7"/>
    </row>
    <row r="9" spans="2:15" x14ac:dyDescent="0.25">
      <c r="B9" s="5"/>
      <c r="C9" s="6"/>
      <c r="D9" s="6"/>
      <c r="E9" s="6"/>
      <c r="F9" s="6"/>
      <c r="G9" s="6"/>
      <c r="H9" s="6"/>
      <c r="I9" s="6"/>
      <c r="J9" s="6"/>
      <c r="K9" s="6"/>
      <c r="L9" s="6"/>
      <c r="M9" s="6"/>
      <c r="N9" s="6"/>
      <c r="O9" s="7"/>
    </row>
    <row r="10" spans="2:15" x14ac:dyDescent="0.25">
      <c r="B10" s="5"/>
      <c r="C10" s="6"/>
      <c r="D10" s="6"/>
      <c r="E10" s="6"/>
      <c r="F10" s="6"/>
      <c r="G10" s="6"/>
      <c r="H10" s="6"/>
      <c r="I10" s="6"/>
      <c r="J10" s="6"/>
      <c r="K10" s="6"/>
      <c r="L10" s="6"/>
      <c r="M10" s="6"/>
      <c r="N10" s="6"/>
      <c r="O10" s="7"/>
    </row>
    <row r="11" spans="2:15" x14ac:dyDescent="0.25">
      <c r="B11" s="5"/>
      <c r="C11" s="6"/>
      <c r="D11" s="6"/>
      <c r="E11" s="6"/>
      <c r="F11" s="6"/>
      <c r="G11" s="6"/>
      <c r="H11" s="6"/>
      <c r="I11" s="6"/>
      <c r="J11" s="6"/>
      <c r="K11" s="6"/>
      <c r="L11" s="6"/>
      <c r="M11" s="6"/>
      <c r="N11" s="6"/>
      <c r="O11" s="7"/>
    </row>
    <row r="12" spans="2:15" x14ac:dyDescent="0.25">
      <c r="B12" s="5"/>
      <c r="C12" s="6"/>
      <c r="D12" s="6"/>
      <c r="E12" s="6"/>
      <c r="F12" s="6"/>
      <c r="G12" s="6"/>
      <c r="H12" s="6"/>
      <c r="I12" s="6"/>
      <c r="J12" s="6"/>
      <c r="K12" s="6"/>
      <c r="L12" s="6"/>
      <c r="M12" s="6"/>
      <c r="N12" s="6"/>
      <c r="O12" s="7"/>
    </row>
    <row r="13" spans="2:15" x14ac:dyDescent="0.25">
      <c r="B13" s="5"/>
      <c r="C13" s="6"/>
      <c r="D13" s="6"/>
      <c r="E13" s="6"/>
      <c r="F13" s="6"/>
      <c r="G13" s="6"/>
      <c r="H13" s="6"/>
      <c r="I13" s="6"/>
      <c r="J13" s="6"/>
      <c r="K13" s="6"/>
      <c r="L13" s="6"/>
      <c r="M13" s="6"/>
      <c r="N13" s="6"/>
      <c r="O13" s="7"/>
    </row>
    <row r="14" spans="2:15" x14ac:dyDescent="0.25">
      <c r="B14" s="5"/>
      <c r="C14" s="6"/>
      <c r="D14" s="6"/>
      <c r="E14" s="6"/>
      <c r="F14" s="6"/>
      <c r="G14" s="6"/>
      <c r="H14" s="6"/>
      <c r="I14" s="6"/>
      <c r="J14" s="6"/>
      <c r="K14" s="6"/>
      <c r="L14" s="6"/>
      <c r="M14" s="6"/>
      <c r="N14" s="6"/>
      <c r="O14" s="7"/>
    </row>
    <row r="15" spans="2:15" x14ac:dyDescent="0.25">
      <c r="B15" s="5"/>
      <c r="C15" s="6"/>
      <c r="D15" s="6"/>
      <c r="E15" s="6"/>
      <c r="F15" s="6"/>
      <c r="G15" s="6"/>
      <c r="H15" s="6"/>
      <c r="I15" s="6"/>
      <c r="J15" s="6"/>
      <c r="K15" s="6"/>
      <c r="L15" s="6"/>
      <c r="M15" s="6"/>
      <c r="N15" s="6"/>
      <c r="O15" s="7"/>
    </row>
    <row r="16" spans="2:15" x14ac:dyDescent="0.25">
      <c r="B16" s="5"/>
      <c r="C16" s="6"/>
      <c r="D16" s="6"/>
      <c r="E16" s="6"/>
      <c r="F16" s="6"/>
      <c r="G16" s="6"/>
      <c r="H16" s="6"/>
      <c r="I16" s="6"/>
      <c r="J16" s="6"/>
      <c r="K16" s="6"/>
      <c r="L16" s="6"/>
      <c r="M16" s="6"/>
      <c r="N16" s="6"/>
      <c r="O16" s="7"/>
    </row>
    <row r="17" spans="2:15" x14ac:dyDescent="0.25">
      <c r="B17" s="5"/>
      <c r="C17" s="6"/>
      <c r="D17" s="6"/>
      <c r="E17" s="6"/>
      <c r="F17" s="6"/>
      <c r="G17" s="6"/>
      <c r="H17" s="6"/>
      <c r="I17" s="6"/>
      <c r="J17" s="6"/>
      <c r="K17" s="6"/>
      <c r="L17" s="6"/>
      <c r="M17" s="6"/>
      <c r="N17" s="6"/>
      <c r="O17" s="7"/>
    </row>
    <row r="18" spans="2:15" ht="15.75" thickBot="1" x14ac:dyDescent="0.3">
      <c r="B18" s="8"/>
      <c r="C18" s="9"/>
      <c r="D18" s="9"/>
      <c r="E18" s="9"/>
      <c r="F18" s="9"/>
      <c r="G18" s="9"/>
      <c r="H18" s="9"/>
      <c r="I18" s="9"/>
      <c r="J18" s="9"/>
      <c r="K18" s="9"/>
      <c r="L18" s="9"/>
      <c r="M18" s="9"/>
      <c r="N18" s="9"/>
      <c r="O18" s="10"/>
    </row>
  </sheetData>
  <sheetProtection algorithmName="SHA-512" hashValue="fESCBRSONm1O8Dc0JOnjB+qZOu1d6CiIMR9AFNICnNkTv8GeL/e0JsFltcWbeY82mSirBMQYcES73YQY5x/fMQ==" saltValue="rfeIy2Ycu5WCYD7kyrPZ3g==" spinCount="100000" sheet="1" objects="1" scenarios="1"/>
  <mergeCells count="3">
    <mergeCell ref="B3:O3"/>
    <mergeCell ref="B4:O4"/>
    <mergeCell ref="C6:N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5:T19"/>
  <sheetViews>
    <sheetView topLeftCell="A4" zoomScale="89" zoomScaleNormal="89" workbookViewId="0">
      <selection activeCell="D18" sqref="D18"/>
    </sheetView>
  </sheetViews>
  <sheetFormatPr baseColWidth="10" defaultRowHeight="15" x14ac:dyDescent="0.25"/>
  <cols>
    <col min="1" max="1" width="6.42578125" style="1" customWidth="1"/>
    <col min="2" max="2" width="34.28515625" style="1" customWidth="1"/>
    <col min="3" max="3" width="13.28515625" style="1" customWidth="1"/>
    <col min="4" max="4" width="27.42578125" style="1" customWidth="1"/>
    <col min="5" max="5" width="57.42578125" style="1" customWidth="1"/>
    <col min="6" max="6" width="30.140625" style="1" customWidth="1"/>
    <col min="7" max="7" width="15.7109375" style="1" customWidth="1"/>
    <col min="8" max="9" width="11.42578125" style="42"/>
    <col min="10" max="10" width="11.85546875" style="42" bestFit="1" customWidth="1"/>
    <col min="11" max="16384" width="11.42578125" style="1"/>
  </cols>
  <sheetData>
    <row r="5" spans="2:20" ht="15.75" thickBot="1" x14ac:dyDescent="0.3"/>
    <row r="6" spans="2:20" x14ac:dyDescent="0.25">
      <c r="B6" s="11"/>
      <c r="C6" s="12"/>
      <c r="D6" s="12"/>
      <c r="E6" s="12"/>
      <c r="F6" s="12"/>
      <c r="G6" s="13"/>
    </row>
    <row r="7" spans="2:20" ht="21" x14ac:dyDescent="0.35">
      <c r="B7" s="96" t="s">
        <v>105</v>
      </c>
      <c r="C7" s="97"/>
      <c r="D7" s="97"/>
      <c r="E7" s="97"/>
      <c r="F7" s="97"/>
      <c r="G7" s="98"/>
      <c r="T7" s="1" t="s">
        <v>12</v>
      </c>
    </row>
    <row r="8" spans="2:20" ht="15.75" thickBot="1" x14ac:dyDescent="0.3">
      <c r="B8" s="14"/>
      <c r="C8" s="15"/>
      <c r="D8" s="104" t="s">
        <v>143</v>
      </c>
      <c r="E8" s="104"/>
      <c r="F8" s="15"/>
      <c r="G8" s="16"/>
      <c r="T8" s="1" t="s">
        <v>13</v>
      </c>
    </row>
    <row r="9" spans="2:20" ht="15.75" thickBot="1" x14ac:dyDescent="0.3">
      <c r="B9" s="102" t="s">
        <v>107</v>
      </c>
      <c r="C9" s="103"/>
      <c r="D9" s="79">
        <v>44802</v>
      </c>
      <c r="E9" s="15"/>
      <c r="F9" s="15"/>
      <c r="G9" s="16"/>
      <c r="T9" s="1" t="s">
        <v>14</v>
      </c>
    </row>
    <row r="10" spans="2:20" x14ac:dyDescent="0.25">
      <c r="B10" s="14" t="s">
        <v>145</v>
      </c>
      <c r="C10" s="15"/>
      <c r="D10" s="15"/>
      <c r="E10" s="15"/>
      <c r="F10" s="15"/>
      <c r="G10" s="67">
        <v>43545</v>
      </c>
    </row>
    <row r="11" spans="2:20" x14ac:dyDescent="0.25">
      <c r="B11" s="22" t="s">
        <v>15</v>
      </c>
      <c r="C11" s="23" t="s">
        <v>16</v>
      </c>
      <c r="D11" s="24" t="s">
        <v>6</v>
      </c>
      <c r="E11" s="23" t="s">
        <v>7</v>
      </c>
      <c r="F11" s="23" t="s">
        <v>17</v>
      </c>
      <c r="G11" s="25" t="s">
        <v>76</v>
      </c>
    </row>
    <row r="12" spans="2:20" x14ac:dyDescent="0.25">
      <c r="B12" s="21" t="s">
        <v>0</v>
      </c>
      <c r="C12" s="78" t="s">
        <v>12</v>
      </c>
      <c r="D12" s="79">
        <v>44628</v>
      </c>
      <c r="E12" s="78" t="s">
        <v>191</v>
      </c>
      <c r="F12" s="79">
        <v>44687</v>
      </c>
      <c r="G12" s="80" t="str">
        <f>+IF(C12="SI",IF(F12&lt;$G$10,"DESACTUALIZADO",""),"")</f>
        <v/>
      </c>
      <c r="H12" s="42">
        <f t="shared" ref="H12:H17" si="0">+IF(C12="N/A",1,0)</f>
        <v>0</v>
      </c>
      <c r="I12" s="42">
        <f t="shared" ref="I12:I17" si="1">+IF(C12="Si",1,0)</f>
        <v>1</v>
      </c>
      <c r="J12" s="42">
        <f t="shared" ref="J12:J17" si="2">+IF(C12="No",1,0)</f>
        <v>0</v>
      </c>
    </row>
    <row r="13" spans="2:20" x14ac:dyDescent="0.25">
      <c r="B13" s="21" t="s">
        <v>1</v>
      </c>
      <c r="C13" s="78" t="s">
        <v>12</v>
      </c>
      <c r="D13" s="79">
        <v>44252</v>
      </c>
      <c r="E13" s="78" t="s">
        <v>193</v>
      </c>
      <c r="F13" s="79"/>
      <c r="G13" s="80" t="str">
        <f t="shared" ref="G13:G17" si="3">+IF(C13="SI",IF(F13&lt;$G$10,"DESACTUALIZADO",""),"")</f>
        <v>DESACTUALIZADO</v>
      </c>
      <c r="H13" s="42">
        <f t="shared" si="0"/>
        <v>0</v>
      </c>
      <c r="I13" s="42">
        <f t="shared" si="1"/>
        <v>1</v>
      </c>
      <c r="J13" s="42">
        <f t="shared" si="2"/>
        <v>0</v>
      </c>
    </row>
    <row r="14" spans="2:20" x14ac:dyDescent="0.25">
      <c r="B14" s="21" t="s">
        <v>2</v>
      </c>
      <c r="C14" s="78" t="s">
        <v>12</v>
      </c>
      <c r="D14" s="79">
        <v>44628</v>
      </c>
      <c r="E14" s="78" t="s">
        <v>192</v>
      </c>
      <c r="F14" s="79">
        <v>44712</v>
      </c>
      <c r="G14" s="80" t="str">
        <f t="shared" si="3"/>
        <v/>
      </c>
      <c r="H14" s="42">
        <f t="shared" si="0"/>
        <v>0</v>
      </c>
      <c r="I14" s="42">
        <f t="shared" si="1"/>
        <v>1</v>
      </c>
      <c r="J14" s="42">
        <f t="shared" si="2"/>
        <v>0</v>
      </c>
      <c r="T14" s="48">
        <v>43545</v>
      </c>
    </row>
    <row r="15" spans="2:20" x14ac:dyDescent="0.25">
      <c r="B15" s="21" t="s">
        <v>3</v>
      </c>
      <c r="C15" s="78" t="s">
        <v>12</v>
      </c>
      <c r="D15" s="79">
        <v>43663</v>
      </c>
      <c r="E15" s="78" t="s">
        <v>189</v>
      </c>
      <c r="F15" s="79">
        <v>44601</v>
      </c>
      <c r="G15" s="80" t="str">
        <f t="shared" si="3"/>
        <v/>
      </c>
      <c r="H15" s="42">
        <f t="shared" si="0"/>
        <v>0</v>
      </c>
      <c r="I15" s="42">
        <f t="shared" si="1"/>
        <v>1</v>
      </c>
      <c r="J15" s="42">
        <f t="shared" si="2"/>
        <v>0</v>
      </c>
    </row>
    <row r="16" spans="2:20" x14ac:dyDescent="0.25">
      <c r="B16" s="21" t="s">
        <v>4</v>
      </c>
      <c r="C16" s="78" t="s">
        <v>12</v>
      </c>
      <c r="D16" s="79">
        <v>43706</v>
      </c>
      <c r="E16" s="78" t="s">
        <v>190</v>
      </c>
      <c r="F16" s="79">
        <v>44629</v>
      </c>
      <c r="G16" s="80" t="str">
        <f t="shared" si="3"/>
        <v/>
      </c>
      <c r="H16" s="42">
        <f t="shared" si="0"/>
        <v>0</v>
      </c>
      <c r="I16" s="42">
        <f t="shared" si="1"/>
        <v>1</v>
      </c>
      <c r="J16" s="42">
        <f t="shared" si="2"/>
        <v>0</v>
      </c>
    </row>
    <row r="17" spans="2:10" x14ac:dyDescent="0.25">
      <c r="B17" s="21" t="s">
        <v>5</v>
      </c>
      <c r="C17" s="78" t="s">
        <v>12</v>
      </c>
      <c r="D17" s="79">
        <v>44491</v>
      </c>
      <c r="E17" s="78" t="s">
        <v>193</v>
      </c>
      <c r="F17" s="79"/>
      <c r="G17" s="80" t="str">
        <f t="shared" si="3"/>
        <v>DESACTUALIZADO</v>
      </c>
      <c r="H17" s="42">
        <f t="shared" si="0"/>
        <v>0</v>
      </c>
      <c r="I17" s="42">
        <f t="shared" si="1"/>
        <v>1</v>
      </c>
      <c r="J17" s="42">
        <f t="shared" si="2"/>
        <v>0</v>
      </c>
    </row>
    <row r="18" spans="2:10" x14ac:dyDescent="0.25">
      <c r="B18" s="14"/>
      <c r="C18" s="15"/>
      <c r="D18" s="15"/>
      <c r="E18" s="15"/>
      <c r="F18" s="15"/>
      <c r="G18" s="16"/>
    </row>
    <row r="19" spans="2:10" ht="94.5" customHeight="1" thickBot="1" x14ac:dyDescent="0.3">
      <c r="B19" s="62" t="s">
        <v>90</v>
      </c>
      <c r="C19" s="99" t="s">
        <v>196</v>
      </c>
      <c r="D19" s="100"/>
      <c r="E19" s="100"/>
      <c r="F19" s="100"/>
      <c r="G19" s="101"/>
    </row>
  </sheetData>
  <sheetProtection algorithmName="SHA-512" hashValue="guBwrDrRnk1KuL1QTxzhX+93X5l/aUSlJP3gAz5OjRJbKk1gJlGrcA8FEPrUFZMHmi3icEReOMBE9XonogNp0w==" saltValue="7DocmJkL4AB8U+xMv4KRdA==" spinCount="100000" sheet="1" objects="1" scenarios="1"/>
  <dataConsolidate/>
  <mergeCells count="4">
    <mergeCell ref="B7:G7"/>
    <mergeCell ref="C19:G19"/>
    <mergeCell ref="B9:C9"/>
    <mergeCell ref="D8:E8"/>
  </mergeCells>
  <conditionalFormatting sqref="C12:C17">
    <cfRule type="containsText" dxfId="48" priority="22" operator="containsText" text="N/A">
      <formula>NOT(ISERROR(SEARCH("N/A",C12)))</formula>
    </cfRule>
    <cfRule type="containsBlanks" dxfId="47" priority="30">
      <formula>LEN(TRIM(C12))=0</formula>
    </cfRule>
  </conditionalFormatting>
  <conditionalFormatting sqref="D9">
    <cfRule type="containsBlanks" dxfId="46" priority="29">
      <formula>LEN(TRIM(D9))=0</formula>
    </cfRule>
  </conditionalFormatting>
  <conditionalFormatting sqref="F17 D12:F12 D14:F14 F13">
    <cfRule type="containsBlanks" dxfId="45" priority="24">
      <formula>LEN(TRIM(D12))=0</formula>
    </cfRule>
  </conditionalFormatting>
  <conditionalFormatting sqref="C19">
    <cfRule type="containsBlanks" dxfId="44" priority="23">
      <formula>LEN(TRIM(C19))=0</formula>
    </cfRule>
  </conditionalFormatting>
  <conditionalFormatting sqref="D12:F12 D14">
    <cfRule type="expression" dxfId="43" priority="18">
      <formula>OR($C$12="No",$C$12="N/A")</formula>
    </cfRule>
  </conditionalFormatting>
  <conditionalFormatting sqref="D14:F14">
    <cfRule type="expression" dxfId="42" priority="17">
      <formula>OR($C$14="No",$C$14="N/A")</formula>
    </cfRule>
  </conditionalFormatting>
  <conditionalFormatting sqref="F13">
    <cfRule type="expression" dxfId="41" priority="15">
      <formula>OR($C$13="No",$C$13="N/A")</formula>
    </cfRule>
  </conditionalFormatting>
  <conditionalFormatting sqref="F17">
    <cfRule type="expression" dxfId="40" priority="11">
      <formula>OR($C$17="No",$C$17="N/A")</formula>
    </cfRule>
  </conditionalFormatting>
  <conditionalFormatting sqref="F13:F14 F17">
    <cfRule type="expression" dxfId="39" priority="10">
      <formula>OR($C$12="No",$C$12="N/A")</formula>
    </cfRule>
  </conditionalFormatting>
  <conditionalFormatting sqref="D15:F15">
    <cfRule type="containsBlanks" dxfId="38" priority="9">
      <formula>LEN(TRIM(D15))=0</formula>
    </cfRule>
  </conditionalFormatting>
  <conditionalFormatting sqref="D15:F15">
    <cfRule type="expression" dxfId="37" priority="8">
      <formula>OR($C$15="No",$C$15="N/A")</formula>
    </cfRule>
  </conditionalFormatting>
  <conditionalFormatting sqref="D16:F16">
    <cfRule type="containsBlanks" dxfId="36" priority="7">
      <formula>LEN(TRIM(D16))=0</formula>
    </cfRule>
  </conditionalFormatting>
  <conditionalFormatting sqref="D16:F16">
    <cfRule type="expression" dxfId="35" priority="6">
      <formula>OR($C$16="No",$C$16="N/A")</formula>
    </cfRule>
  </conditionalFormatting>
  <conditionalFormatting sqref="F14">
    <cfRule type="expression" dxfId="34" priority="5">
      <formula>OR($C$12="No",$C$12="N/A")</formula>
    </cfRule>
  </conditionalFormatting>
  <conditionalFormatting sqref="D13:E13">
    <cfRule type="containsBlanks" dxfId="33" priority="4">
      <formula>LEN(TRIM(D13))=0</formula>
    </cfRule>
  </conditionalFormatting>
  <conditionalFormatting sqref="D13:E13">
    <cfRule type="expression" dxfId="32" priority="3">
      <formula>OR($C$13="No",$C$13="N/A")</formula>
    </cfRule>
  </conditionalFormatting>
  <conditionalFormatting sqref="D17:E17">
    <cfRule type="containsBlanks" dxfId="31" priority="2">
      <formula>LEN(TRIM(D17))=0</formula>
    </cfRule>
  </conditionalFormatting>
  <conditionalFormatting sqref="D17:E17">
    <cfRule type="expression" dxfId="30" priority="1">
      <formula>OR($C$13="No",$C$13="N/A")</formula>
    </cfRule>
  </conditionalFormatting>
  <dataValidations count="5">
    <dataValidation type="date" showInputMessage="1" showErrorMessage="1" promptTitle="Fecha de Generacion del Reporte" prompt="Indique la fecha en que genera o Elabora este reporte de Usuarios Activos  No Abogados" sqref="D9">
      <formula1>44742</formula1>
      <formula2>44823</formula2>
    </dataValidation>
    <dataValidation type="list" showInputMessage="1" showErrorMessage="1" errorTitle="Campo en Blanco" error="El campo debe tener un valor asignado" promptTitle="ROL Asignado Activo en Ekogui" prompt="Indique si tiene o no el Rol asignado Activo en el aplicativo Ekogui, un usuario puede tener uno o mas Roles Activos en el sistema. Relacionar los que apliquen. Si el Rol No aplica para su entidad Seleccione N/A" sqref="C12:C17">
      <formula1>$T$7:$T$9</formula1>
    </dataValidation>
    <dataValidation showInputMessage="1" showErrorMessage="1" sqref="E12 E14:E17"/>
    <dataValidation showInputMessage="1" showErrorMessage="1" errorTitle="Fecha invalida" error="La fecha debe estar entre el 01/01/2011 y el 31/03/2022" sqref="E13"/>
    <dataValidation type="date" showInputMessage="1" showErrorMessage="1" errorTitle="Fecha invalida" error="La fecha debe estar entre el 01/01/2011 y el 31/03/2022" promptTitle="Fecha de Creación del Rol" prompt="Indique la ultima fecha de Creación del Rol en Ekogui que se encuentra en estado Activo en el formato &quot;DD/MM/AAAA&quot;" sqref="D12:D17 F12:F17">
      <formula1>40544</formula1>
      <formula2>44823</formula2>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1:V26"/>
  <sheetViews>
    <sheetView showGridLines="0" topLeftCell="A5" zoomScale="90" zoomScaleNormal="90" workbookViewId="0">
      <selection activeCell="D7" sqref="D7"/>
    </sheetView>
  </sheetViews>
  <sheetFormatPr baseColWidth="10" defaultRowHeight="15" x14ac:dyDescent="0.25"/>
  <cols>
    <col min="1" max="1" width="3.85546875" style="1" customWidth="1"/>
    <col min="2" max="2" width="11.42578125" style="1"/>
    <col min="3" max="3" width="58.5703125" style="1" customWidth="1"/>
    <col min="4" max="4" width="20.85546875" style="1" customWidth="1"/>
    <col min="5" max="5" width="6.28515625" style="1" customWidth="1"/>
    <col min="6" max="6" width="41.42578125" style="1" customWidth="1"/>
    <col min="7" max="7" width="24.140625" style="1" customWidth="1"/>
    <col min="8" max="8" width="7.28515625" style="1" customWidth="1"/>
    <col min="9" max="16384" width="11.42578125" style="1"/>
  </cols>
  <sheetData>
    <row r="1" spans="2:22" ht="15.75" thickBot="1" x14ac:dyDescent="0.3"/>
    <row r="2" spans="2:22" x14ac:dyDescent="0.25">
      <c r="B2" s="29"/>
      <c r="C2" s="30"/>
      <c r="D2" s="30"/>
      <c r="E2" s="30"/>
      <c r="F2" s="30"/>
      <c r="G2" s="30"/>
      <c r="H2" s="31"/>
    </row>
    <row r="3" spans="2:22" x14ac:dyDescent="0.25">
      <c r="B3" s="14"/>
      <c r="C3" s="15"/>
      <c r="D3" s="15"/>
      <c r="E3" s="15"/>
      <c r="F3" s="15"/>
      <c r="G3" s="15"/>
      <c r="H3" s="16"/>
      <c r="V3" s="28">
        <f>+IF(D12&lt;=10,D12,IF(ROUNDDOWN(D12*10%,0)&lt;10,10,ROUNDDOWN(D12*10%,0)))</f>
        <v>3</v>
      </c>
    </row>
    <row r="4" spans="2:22" x14ac:dyDescent="0.25">
      <c r="B4" s="14"/>
      <c r="C4" s="15"/>
      <c r="D4" s="15"/>
      <c r="E4" s="15"/>
      <c r="F4" s="15"/>
      <c r="G4" s="15"/>
      <c r="H4" s="16"/>
    </row>
    <row r="5" spans="2:22" x14ac:dyDescent="0.25">
      <c r="B5" s="14"/>
      <c r="C5" s="15"/>
      <c r="D5" s="15" t="s">
        <v>143</v>
      </c>
      <c r="E5" s="15"/>
      <c r="F5" s="15"/>
      <c r="G5" s="15"/>
      <c r="H5" s="16"/>
    </row>
    <row r="6" spans="2:22" ht="15" customHeight="1" x14ac:dyDescent="0.25">
      <c r="B6" s="14"/>
      <c r="C6" s="27"/>
      <c r="D6" s="27"/>
      <c r="E6" s="27"/>
      <c r="G6" s="32"/>
      <c r="H6" s="33"/>
    </row>
    <row r="7" spans="2:22" ht="17.25" customHeight="1" x14ac:dyDescent="0.35">
      <c r="B7" s="14"/>
      <c r="C7" s="20" t="s">
        <v>107</v>
      </c>
      <c r="D7" s="79">
        <v>44802</v>
      </c>
      <c r="E7" s="26"/>
      <c r="F7" s="105" t="str">
        <f>"Seleccione una muestra de "&amp;V3&amp;" abogados activos y complete la siguiente tabla"</f>
        <v>Seleccione una muestra de 3 abogados activos y complete la siguiente tabla</v>
      </c>
      <c r="G7" s="106"/>
      <c r="H7" s="33"/>
    </row>
    <row r="8" spans="2:22" x14ac:dyDescent="0.25">
      <c r="B8" s="14"/>
      <c r="D8" s="15"/>
      <c r="E8" s="15"/>
      <c r="F8" s="107"/>
      <c r="G8" s="108"/>
      <c r="H8" s="16"/>
      <c r="T8" s="1" t="s">
        <v>13</v>
      </c>
    </row>
    <row r="9" spans="2:22" ht="23.25" x14ac:dyDescent="0.25">
      <c r="B9" s="14"/>
      <c r="C9" s="34" t="s">
        <v>149</v>
      </c>
      <c r="E9" s="6"/>
      <c r="F9" s="24" t="s">
        <v>94</v>
      </c>
      <c r="G9" s="24" t="s">
        <v>19</v>
      </c>
      <c r="H9" s="16"/>
      <c r="T9" s="1" t="s">
        <v>14</v>
      </c>
    </row>
    <row r="10" spans="2:22" x14ac:dyDescent="0.25">
      <c r="B10" s="14"/>
      <c r="C10" s="23" t="s">
        <v>150</v>
      </c>
      <c r="D10" s="23" t="s">
        <v>23</v>
      </c>
      <c r="E10" s="6"/>
      <c r="F10" s="20" t="s">
        <v>91</v>
      </c>
      <c r="G10" s="78">
        <v>1</v>
      </c>
      <c r="H10" s="16"/>
    </row>
    <row r="11" spans="2:22" x14ac:dyDescent="0.25">
      <c r="B11" s="14"/>
      <c r="C11" s="20" t="s">
        <v>162</v>
      </c>
      <c r="D11" s="78">
        <v>1</v>
      </c>
      <c r="E11" s="6"/>
      <c r="F11" s="20" t="s">
        <v>92</v>
      </c>
      <c r="G11" s="78">
        <v>1</v>
      </c>
      <c r="H11" s="16"/>
    </row>
    <row r="12" spans="2:22" x14ac:dyDescent="0.25">
      <c r="B12" s="14"/>
      <c r="C12" s="20" t="s">
        <v>22</v>
      </c>
      <c r="D12" s="78">
        <v>3</v>
      </c>
      <c r="E12" s="6"/>
      <c r="F12" s="20" t="s">
        <v>93</v>
      </c>
      <c r="G12" s="78">
        <v>1</v>
      </c>
      <c r="H12" s="16"/>
    </row>
    <row r="13" spans="2:22" x14ac:dyDescent="0.25">
      <c r="B13" s="14"/>
      <c r="C13" s="20" t="s">
        <v>26</v>
      </c>
      <c r="D13" s="78">
        <v>1</v>
      </c>
      <c r="E13" s="6"/>
      <c r="F13" s="52" t="s">
        <v>99</v>
      </c>
      <c r="G13" s="51"/>
      <c r="H13" s="16"/>
    </row>
    <row r="14" spans="2:22" x14ac:dyDescent="0.25">
      <c r="B14" s="14"/>
      <c r="E14" s="6"/>
      <c r="F14" s="53" t="s">
        <v>100</v>
      </c>
      <c r="G14" s="54"/>
      <c r="H14" s="16"/>
    </row>
    <row r="15" spans="2:22" x14ac:dyDescent="0.25">
      <c r="B15" s="14"/>
      <c r="E15" s="6"/>
      <c r="H15" s="16"/>
    </row>
    <row r="16" spans="2:22" x14ac:dyDescent="0.25">
      <c r="B16" s="14"/>
      <c r="C16" s="23" t="s">
        <v>24</v>
      </c>
      <c r="D16" s="23" t="s">
        <v>23</v>
      </c>
      <c r="E16" s="6"/>
      <c r="F16" s="24" t="s">
        <v>103</v>
      </c>
      <c r="G16" s="24" t="s">
        <v>19</v>
      </c>
      <c r="H16" s="16"/>
    </row>
    <row r="17" spans="2:8" x14ac:dyDescent="0.25">
      <c r="B17" s="14"/>
      <c r="C17" s="20" t="s">
        <v>163</v>
      </c>
      <c r="D17" s="78">
        <v>0</v>
      </c>
      <c r="E17" s="6"/>
      <c r="F17" s="20" t="s">
        <v>106</v>
      </c>
      <c r="G17" s="78">
        <v>1</v>
      </c>
      <c r="H17" s="16"/>
    </row>
    <row r="18" spans="2:8" x14ac:dyDescent="0.25">
      <c r="B18" s="14"/>
      <c r="C18" s="20" t="s">
        <v>181</v>
      </c>
      <c r="D18" s="78">
        <v>0</v>
      </c>
      <c r="E18" s="6"/>
      <c r="F18" s="49" t="s">
        <v>77</v>
      </c>
      <c r="G18" s="78">
        <v>0</v>
      </c>
      <c r="H18" s="16"/>
    </row>
    <row r="19" spans="2:8" x14ac:dyDescent="0.25">
      <c r="B19" s="14"/>
      <c r="C19" s="59"/>
      <c r="E19" s="6"/>
      <c r="F19" s="20" t="s">
        <v>96</v>
      </c>
      <c r="G19" s="78">
        <v>0</v>
      </c>
      <c r="H19" s="16"/>
    </row>
    <row r="20" spans="2:8" x14ac:dyDescent="0.25">
      <c r="B20" s="14"/>
      <c r="C20" s="59"/>
      <c r="E20" s="6"/>
      <c r="F20" s="20" t="s">
        <v>25</v>
      </c>
      <c r="G20" s="78">
        <v>0</v>
      </c>
      <c r="H20" s="16"/>
    </row>
    <row r="21" spans="2:8" x14ac:dyDescent="0.25">
      <c r="B21" s="14"/>
      <c r="C21" s="82" t="s">
        <v>95</v>
      </c>
      <c r="D21" s="83"/>
      <c r="E21" s="84"/>
      <c r="F21" s="86"/>
      <c r="G21" s="86"/>
      <c r="H21" s="85"/>
    </row>
    <row r="22" spans="2:8" x14ac:dyDescent="0.25">
      <c r="B22" s="14"/>
      <c r="C22" s="109" t="s">
        <v>198</v>
      </c>
      <c r="D22" s="110"/>
      <c r="E22" s="110"/>
      <c r="F22" s="110"/>
      <c r="G22" s="111"/>
      <c r="H22" s="16"/>
    </row>
    <row r="23" spans="2:8" x14ac:dyDescent="0.25">
      <c r="B23" s="14"/>
      <c r="C23" s="112"/>
      <c r="D23" s="113"/>
      <c r="E23" s="113"/>
      <c r="F23" s="113"/>
      <c r="G23" s="114"/>
      <c r="H23" s="16"/>
    </row>
    <row r="24" spans="2:8" x14ac:dyDescent="0.25">
      <c r="B24" s="14"/>
      <c r="C24" s="112"/>
      <c r="D24" s="113"/>
      <c r="E24" s="113"/>
      <c r="F24" s="113"/>
      <c r="G24" s="114"/>
      <c r="H24" s="16"/>
    </row>
    <row r="25" spans="2:8" x14ac:dyDescent="0.25">
      <c r="B25" s="14"/>
      <c r="C25" s="115"/>
      <c r="D25" s="116"/>
      <c r="E25" s="116"/>
      <c r="F25" s="116"/>
      <c r="G25" s="117"/>
      <c r="H25" s="16"/>
    </row>
    <row r="26" spans="2:8" ht="15.75" thickBot="1" x14ac:dyDescent="0.3">
      <c r="B26" s="17"/>
      <c r="C26" s="18"/>
      <c r="D26" s="18"/>
      <c r="E26" s="18"/>
      <c r="F26" s="18"/>
      <c r="G26" s="18"/>
      <c r="H26" s="19"/>
    </row>
  </sheetData>
  <sheetProtection algorithmName="SHA-512" hashValue="8RVfEKhnYWfIrZgxadx6Lc2rQDLeuKO1UW4AlYqnO3coVmDLUoIAogyz2Won+/zis7CW1pAtLh7Ek1Vaki8u8w==" saltValue="vQUyMhNw20AE2MFLVmAxDA==" spinCount="100000" sheet="1" objects="1" scenarios="1"/>
  <mergeCells count="2">
    <mergeCell ref="F7:G8"/>
    <mergeCell ref="C22:G25"/>
  </mergeCells>
  <conditionalFormatting sqref="D11:D13">
    <cfRule type="containsBlanks" dxfId="29" priority="13">
      <formula>LEN(TRIM(D11))=0</formula>
    </cfRule>
  </conditionalFormatting>
  <conditionalFormatting sqref="C22">
    <cfRule type="containsBlanks" dxfId="28" priority="9">
      <formula>LEN(TRIM(C22))=0</formula>
    </cfRule>
  </conditionalFormatting>
  <conditionalFormatting sqref="D17:D18">
    <cfRule type="containsBlanks" dxfId="27" priority="5">
      <formula>LEN(TRIM(D17))=0</formula>
    </cfRule>
  </conditionalFormatting>
  <conditionalFormatting sqref="G10:G12">
    <cfRule type="containsBlanks" dxfId="26" priority="4">
      <formula>LEN(TRIM(G10))=0</formula>
    </cfRule>
  </conditionalFormatting>
  <conditionalFormatting sqref="G17:G20">
    <cfRule type="containsBlanks" dxfId="25" priority="3">
      <formula>LEN(TRIM(G17))=0</formula>
    </cfRule>
  </conditionalFormatting>
  <conditionalFormatting sqref="D7">
    <cfRule type="containsBlanks" dxfId="24" priority="1">
      <formula>LEN(TRIM(D7))=0</formula>
    </cfRule>
  </conditionalFormatting>
  <dataValidations count="2">
    <dataValidation type="whole" operator="greaterThanOrEqual" showInputMessage="1" showErrorMessage="1" errorTitle="Numero Invalido" promptTitle="Ingrese la cantidad Solicitada" prompt="Ingrese la cantidad Solicitada" sqref="G17:G20 D17:D18 G10:G12 D11:D13">
      <formula1>0</formula1>
    </dataValidation>
    <dataValidation type="date" showInputMessage="1" showErrorMessage="1" errorTitle="FECHA INVALIDA" promptTitle="Fecha de Generacion del Reporte " prompt="Diligenciar la fecha de Generacion de este Reporte de Usuarios Abogados Formato (DD/MM/AAAA)" sqref="D7">
      <formula1>44742</formula1>
      <formula2>44823</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dimension ref="B1:W34"/>
  <sheetViews>
    <sheetView showGridLines="0" topLeftCell="B1" zoomScale="90" zoomScaleNormal="90" workbookViewId="0">
      <selection activeCell="C13" sqref="C13"/>
    </sheetView>
  </sheetViews>
  <sheetFormatPr baseColWidth="10" defaultRowHeight="15" x14ac:dyDescent="0.25"/>
  <cols>
    <col min="1" max="1" width="3.85546875" style="1" customWidth="1"/>
    <col min="2" max="2" width="11.42578125" style="1"/>
    <col min="3" max="3" width="70.28515625" style="1" customWidth="1"/>
    <col min="4" max="4" width="15.28515625" style="1" customWidth="1"/>
    <col min="5" max="5" width="6.28515625" style="1" customWidth="1"/>
    <col min="6" max="6" width="70.140625" style="1" customWidth="1"/>
    <col min="7" max="7" width="16.85546875" style="1" customWidth="1"/>
    <col min="8" max="8" width="15.28515625" style="1" customWidth="1"/>
    <col min="9" max="9" width="7.28515625" style="1" customWidth="1"/>
    <col min="10" max="16384" width="11.42578125" style="1"/>
  </cols>
  <sheetData>
    <row r="1" spans="2:23" ht="15.75" thickBot="1" x14ac:dyDescent="0.3"/>
    <row r="2" spans="2:23" ht="9" customHeight="1" x14ac:dyDescent="0.25">
      <c r="B2" s="29"/>
      <c r="C2" s="30"/>
      <c r="D2" s="30"/>
      <c r="E2" s="30"/>
      <c r="F2" s="30"/>
      <c r="G2" s="30"/>
      <c r="H2" s="30"/>
      <c r="I2" s="31"/>
    </row>
    <row r="3" spans="2:23" x14ac:dyDescent="0.25">
      <c r="B3" s="14"/>
      <c r="C3" s="15"/>
      <c r="D3" s="15"/>
      <c r="E3" s="15"/>
      <c r="F3" s="15"/>
      <c r="G3" s="15"/>
      <c r="H3" s="15"/>
      <c r="I3" s="16"/>
      <c r="W3" s="28">
        <f>+IF(D17&lt;=10,D17,IF(ROUNDDOWN(D17*10%,0)&lt;10,10,ROUNDDOWN(D17*10%,0)))</f>
        <v>1</v>
      </c>
    </row>
    <row r="4" spans="2:23" x14ac:dyDescent="0.25">
      <c r="B4" s="14"/>
      <c r="C4" s="15"/>
      <c r="D4" s="15"/>
      <c r="E4" s="15"/>
      <c r="F4" s="15"/>
      <c r="G4" s="15"/>
      <c r="H4" s="15"/>
      <c r="I4" s="16"/>
    </row>
    <row r="5" spans="2:23" ht="9" customHeight="1" x14ac:dyDescent="0.25">
      <c r="B5" s="14"/>
      <c r="C5" s="15"/>
      <c r="D5" s="15"/>
      <c r="E5" s="15"/>
      <c r="F5" s="15"/>
      <c r="G5" s="15"/>
      <c r="H5" s="15"/>
      <c r="I5" s="16"/>
    </row>
    <row r="6" spans="2:23" ht="19.5" customHeight="1" x14ac:dyDescent="0.25">
      <c r="B6" s="14"/>
      <c r="C6" s="123" t="s">
        <v>65</v>
      </c>
      <c r="D6" s="123"/>
      <c r="E6" s="123"/>
      <c r="F6" s="123"/>
      <c r="G6" s="123"/>
      <c r="H6" s="123"/>
      <c r="I6" s="33"/>
    </row>
    <row r="7" spans="2:23" x14ac:dyDescent="0.25">
      <c r="B7" s="14"/>
      <c r="C7" s="15"/>
      <c r="D7" s="27"/>
      <c r="E7" s="81" t="s">
        <v>143</v>
      </c>
      <c r="F7" s="27"/>
      <c r="G7" s="15"/>
      <c r="H7" s="15"/>
      <c r="I7" s="16"/>
      <c r="U7" s="1" t="s">
        <v>13</v>
      </c>
    </row>
    <row r="8" spans="2:23" x14ac:dyDescent="0.25">
      <c r="B8" s="14"/>
      <c r="C8" s="23" t="s">
        <v>107</v>
      </c>
      <c r="D8" s="79">
        <v>44802</v>
      </c>
      <c r="E8" s="6"/>
      <c r="F8" s="37" t="s">
        <v>102</v>
      </c>
      <c r="G8" s="91" t="s">
        <v>18</v>
      </c>
      <c r="H8" s="15"/>
      <c r="I8" s="16"/>
      <c r="U8" s="1" t="s">
        <v>14</v>
      </c>
    </row>
    <row r="9" spans="2:23" x14ac:dyDescent="0.25">
      <c r="B9" s="14"/>
      <c r="E9" s="6"/>
      <c r="F9" s="20" t="s">
        <v>168</v>
      </c>
      <c r="G9" s="78">
        <v>0</v>
      </c>
      <c r="H9" s="15"/>
      <c r="I9" s="16"/>
    </row>
    <row r="10" spans="2:23" x14ac:dyDescent="0.25">
      <c r="B10" s="14"/>
      <c r="C10" s="23" t="s">
        <v>151</v>
      </c>
      <c r="D10" s="23" t="s">
        <v>23</v>
      </c>
      <c r="E10" s="6"/>
      <c r="F10" s="20" t="s">
        <v>57</v>
      </c>
      <c r="G10" s="78">
        <v>0</v>
      </c>
      <c r="H10" s="15"/>
      <c r="I10" s="16"/>
    </row>
    <row r="11" spans="2:23" x14ac:dyDescent="0.25">
      <c r="B11" s="14"/>
      <c r="C11" s="20" t="s">
        <v>164</v>
      </c>
      <c r="D11" s="78">
        <v>27</v>
      </c>
      <c r="E11" s="6"/>
      <c r="F11" s="20" t="s">
        <v>79</v>
      </c>
      <c r="G11" s="78">
        <v>0</v>
      </c>
      <c r="H11" s="15"/>
      <c r="I11" s="16"/>
    </row>
    <row r="12" spans="2:23" x14ac:dyDescent="0.25">
      <c r="B12" s="14"/>
      <c r="C12" s="20" t="s">
        <v>28</v>
      </c>
      <c r="D12" s="78">
        <v>27</v>
      </c>
      <c r="E12" s="6"/>
      <c r="F12" s="38" t="s">
        <v>157</v>
      </c>
      <c r="I12" s="16"/>
    </row>
    <row r="13" spans="2:23" x14ac:dyDescent="0.25">
      <c r="B13" s="14"/>
      <c r="C13" s="20" t="s">
        <v>78</v>
      </c>
      <c r="D13" s="78">
        <v>0</v>
      </c>
      <c r="E13" s="6"/>
      <c r="F13" s="38" t="s">
        <v>80</v>
      </c>
      <c r="I13" s="16"/>
    </row>
    <row r="14" spans="2:23" x14ac:dyDescent="0.25">
      <c r="B14" s="14"/>
      <c r="C14" s="38" t="s">
        <v>152</v>
      </c>
      <c r="E14" s="6"/>
      <c r="F14" s="24" t="s">
        <v>32</v>
      </c>
      <c r="G14" s="23" t="s">
        <v>23</v>
      </c>
      <c r="I14" s="16"/>
    </row>
    <row r="15" spans="2:23" x14ac:dyDescent="0.25">
      <c r="B15" s="14"/>
      <c r="C15" s="23" t="s">
        <v>153</v>
      </c>
      <c r="D15" s="23" t="s">
        <v>23</v>
      </c>
      <c r="E15" s="6"/>
      <c r="F15" s="20" t="s">
        <v>169</v>
      </c>
      <c r="G15" s="78">
        <v>26</v>
      </c>
      <c r="I15" s="16"/>
    </row>
    <row r="16" spans="2:23" x14ac:dyDescent="0.25">
      <c r="B16" s="14"/>
      <c r="C16" s="20" t="s">
        <v>165</v>
      </c>
      <c r="D16" s="78">
        <v>6</v>
      </c>
      <c r="E16" s="6"/>
      <c r="F16" s="20" t="s">
        <v>170</v>
      </c>
      <c r="G16" s="78">
        <v>2</v>
      </c>
      <c r="H16" s="15"/>
      <c r="I16" s="16"/>
    </row>
    <row r="17" spans="2:9" x14ac:dyDescent="0.25">
      <c r="B17" s="14"/>
      <c r="C17" s="20" t="s">
        <v>154</v>
      </c>
      <c r="D17" s="78">
        <v>1</v>
      </c>
      <c r="E17" s="6"/>
      <c r="F17" s="20" t="s">
        <v>171</v>
      </c>
      <c r="G17" s="78">
        <v>23</v>
      </c>
      <c r="H17" s="15"/>
      <c r="I17" s="16"/>
    </row>
    <row r="18" spans="2:9" x14ac:dyDescent="0.25">
      <c r="B18" s="14"/>
      <c r="C18" s="38" t="s">
        <v>155</v>
      </c>
      <c r="E18" s="6"/>
      <c r="F18" s="20" t="s">
        <v>172</v>
      </c>
      <c r="G18" s="78">
        <v>1</v>
      </c>
      <c r="H18" s="15"/>
      <c r="I18" s="16"/>
    </row>
    <row r="19" spans="2:9" x14ac:dyDescent="0.25">
      <c r="B19" s="14"/>
      <c r="E19" s="6"/>
      <c r="H19" s="15"/>
      <c r="I19" s="16"/>
    </row>
    <row r="20" spans="2:9" ht="29.25" customHeight="1" x14ac:dyDescent="0.25">
      <c r="B20" s="14"/>
      <c r="C20" s="50" t="s">
        <v>31</v>
      </c>
      <c r="D20" s="50" t="s">
        <v>23</v>
      </c>
      <c r="E20" s="6"/>
      <c r="F20" s="39" t="s">
        <v>101</v>
      </c>
      <c r="G20" s="50" t="s">
        <v>144</v>
      </c>
      <c r="H20" s="40" t="s">
        <v>64</v>
      </c>
      <c r="I20" s="16"/>
    </row>
    <row r="21" spans="2:9" x14ac:dyDescent="0.25">
      <c r="B21" s="14"/>
      <c r="C21" s="60" t="s">
        <v>166</v>
      </c>
      <c r="D21" s="78">
        <v>97</v>
      </c>
      <c r="E21" s="6"/>
      <c r="F21" s="20" t="s">
        <v>60</v>
      </c>
      <c r="G21" s="78">
        <v>2</v>
      </c>
      <c r="H21" s="78">
        <v>0</v>
      </c>
      <c r="I21" s="16"/>
    </row>
    <row r="22" spans="2:9" ht="15" customHeight="1" x14ac:dyDescent="0.25">
      <c r="B22" s="14"/>
      <c r="C22" s="60" t="s">
        <v>167</v>
      </c>
      <c r="D22" s="78">
        <v>1</v>
      </c>
      <c r="E22" s="6"/>
      <c r="F22" s="20" t="s">
        <v>61</v>
      </c>
      <c r="G22" s="78">
        <v>18</v>
      </c>
      <c r="H22" s="78">
        <v>4</v>
      </c>
      <c r="I22" s="16"/>
    </row>
    <row r="23" spans="2:9" x14ac:dyDescent="0.25">
      <c r="B23" s="14"/>
      <c r="C23" s="66" t="s">
        <v>156</v>
      </c>
      <c r="D23" s="66"/>
      <c r="E23" s="6"/>
      <c r="F23" s="20" t="s">
        <v>62</v>
      </c>
      <c r="G23" s="78">
        <v>1</v>
      </c>
      <c r="H23" s="78">
        <v>0</v>
      </c>
      <c r="I23" s="16"/>
    </row>
    <row r="24" spans="2:9" x14ac:dyDescent="0.25">
      <c r="B24" s="14"/>
      <c r="C24" s="15"/>
      <c r="E24" s="6"/>
      <c r="F24" s="20" t="s">
        <v>63</v>
      </c>
      <c r="G24" s="78">
        <v>4</v>
      </c>
      <c r="H24" s="78">
        <v>0</v>
      </c>
      <c r="I24" s="16"/>
    </row>
    <row r="25" spans="2:9" ht="30" customHeight="1" x14ac:dyDescent="0.25">
      <c r="B25" s="14"/>
      <c r="C25" s="68" t="str">
        <f>"Seleccione "&amp;W3&amp;" procesos teminados en el  primer semestre de 2022 y llene la siguiente tabla:"</f>
        <v>Seleccione 1 procesos teminados en el  primer semestre de 2022 y llene la siguiente tabla:</v>
      </c>
      <c r="D25" s="63"/>
      <c r="E25" s="6"/>
      <c r="F25" s="124" t="s">
        <v>173</v>
      </c>
      <c r="G25" s="124"/>
      <c r="H25" s="124"/>
      <c r="I25" s="16"/>
    </row>
    <row r="26" spans="2:9" ht="15.75" thickBot="1" x14ac:dyDescent="0.3">
      <c r="B26" s="14"/>
      <c r="C26" s="64"/>
      <c r="D26" s="65"/>
      <c r="E26" s="6"/>
      <c r="F26" s="61"/>
      <c r="G26" s="15"/>
      <c r="H26" s="15"/>
      <c r="I26" s="16"/>
    </row>
    <row r="27" spans="2:9" x14ac:dyDescent="0.25">
      <c r="B27" s="14"/>
      <c r="C27" s="50" t="s">
        <v>89</v>
      </c>
      <c r="D27" s="50" t="s">
        <v>23</v>
      </c>
      <c r="E27" s="6"/>
      <c r="F27" s="118" t="s">
        <v>88</v>
      </c>
      <c r="G27" s="119"/>
      <c r="H27" s="120"/>
      <c r="I27" s="16"/>
    </row>
    <row r="28" spans="2:9" x14ac:dyDescent="0.25">
      <c r="B28" s="14"/>
      <c r="C28" s="20" t="s">
        <v>81</v>
      </c>
      <c r="D28" s="78">
        <v>1</v>
      </c>
      <c r="E28" s="6"/>
      <c r="F28" s="121" t="s">
        <v>199</v>
      </c>
      <c r="G28" s="122"/>
      <c r="H28" s="122"/>
      <c r="I28" s="16"/>
    </row>
    <row r="29" spans="2:9" x14ac:dyDescent="0.25">
      <c r="B29" s="14"/>
      <c r="C29" s="20" t="s">
        <v>82</v>
      </c>
      <c r="D29" s="78">
        <v>0</v>
      </c>
      <c r="E29" s="6"/>
      <c r="F29" s="122"/>
      <c r="G29" s="122"/>
      <c r="H29" s="122"/>
      <c r="I29" s="16"/>
    </row>
    <row r="30" spans="2:9" x14ac:dyDescent="0.25">
      <c r="B30" s="14"/>
      <c r="C30" s="20" t="s">
        <v>83</v>
      </c>
      <c r="D30" s="78">
        <v>0</v>
      </c>
      <c r="E30" s="6"/>
      <c r="F30" s="122"/>
      <c r="G30" s="122"/>
      <c r="H30" s="122"/>
      <c r="I30" s="16"/>
    </row>
    <row r="31" spans="2:9" x14ac:dyDescent="0.25">
      <c r="B31" s="14"/>
      <c r="C31" s="20" t="s">
        <v>84</v>
      </c>
      <c r="D31" s="78">
        <v>0</v>
      </c>
      <c r="E31" s="6"/>
      <c r="F31" s="122"/>
      <c r="G31" s="122"/>
      <c r="H31" s="122"/>
      <c r="I31" s="16"/>
    </row>
    <row r="32" spans="2:9" x14ac:dyDescent="0.25">
      <c r="B32" s="14"/>
      <c r="C32" s="20" t="s">
        <v>85</v>
      </c>
      <c r="D32" s="78">
        <v>0</v>
      </c>
      <c r="E32" s="6"/>
      <c r="F32" s="122"/>
      <c r="G32" s="122"/>
      <c r="H32" s="122"/>
      <c r="I32" s="16"/>
    </row>
    <row r="33" spans="2:9" x14ac:dyDescent="0.25">
      <c r="B33" s="14"/>
      <c r="C33" s="15"/>
      <c r="E33" s="6"/>
      <c r="F33" s="122"/>
      <c r="G33" s="122"/>
      <c r="H33" s="122"/>
      <c r="I33" s="16"/>
    </row>
    <row r="34" spans="2:9" ht="15.75" thickBot="1" x14ac:dyDescent="0.3">
      <c r="B34" s="17"/>
      <c r="C34" s="18"/>
      <c r="D34" s="18"/>
      <c r="E34" s="18"/>
      <c r="F34" s="18"/>
      <c r="G34" s="18"/>
      <c r="H34" s="18"/>
      <c r="I34" s="19"/>
    </row>
  </sheetData>
  <sheetProtection algorithmName="SHA-512" hashValue="B9V84//xA42RdCAYWxnnmge3JebK6lrTBnVqgqUZdoaV3dQ6rZl/I6IC2ReFAYckWa0swdX3mj/vDzzbeCdsaQ==" saltValue="dyWH2baFBv95gWeLj1vbeg==" spinCount="100000" sheet="1" objects="1" scenarios="1"/>
  <mergeCells count="4">
    <mergeCell ref="F27:H27"/>
    <mergeCell ref="F28:H33"/>
    <mergeCell ref="C6:H6"/>
    <mergeCell ref="F25:H25"/>
  </mergeCells>
  <conditionalFormatting sqref="D8">
    <cfRule type="containsBlanks" dxfId="23" priority="11">
      <formula>LEN(TRIM(D8))=0</formula>
    </cfRule>
  </conditionalFormatting>
  <conditionalFormatting sqref="D11">
    <cfRule type="containsBlanks" dxfId="22" priority="10">
      <formula>LEN(TRIM(D11))=0</formula>
    </cfRule>
  </conditionalFormatting>
  <conditionalFormatting sqref="D12:D13">
    <cfRule type="containsBlanks" dxfId="21" priority="9">
      <formula>LEN(TRIM(D12))=0</formula>
    </cfRule>
  </conditionalFormatting>
  <conditionalFormatting sqref="D16:D17">
    <cfRule type="containsBlanks" dxfId="20" priority="8">
      <formula>LEN(TRIM(D16))=0</formula>
    </cfRule>
  </conditionalFormatting>
  <conditionalFormatting sqref="D21:D22">
    <cfRule type="containsBlanks" dxfId="19" priority="7">
      <formula>LEN(TRIM(D21))=0</formula>
    </cfRule>
  </conditionalFormatting>
  <conditionalFormatting sqref="D28:D32">
    <cfRule type="containsBlanks" dxfId="18" priority="6">
      <formula>LEN(TRIM(D28))=0</formula>
    </cfRule>
  </conditionalFormatting>
  <conditionalFormatting sqref="G9">
    <cfRule type="containsBlanks" dxfId="17" priority="5">
      <formula>LEN(TRIM(G9))=0</formula>
    </cfRule>
  </conditionalFormatting>
  <conditionalFormatting sqref="G10:G11">
    <cfRule type="containsBlanks" dxfId="16" priority="4">
      <formula>LEN(TRIM(G10))=0</formula>
    </cfRule>
  </conditionalFormatting>
  <conditionalFormatting sqref="G15:G18">
    <cfRule type="containsBlanks" dxfId="15" priority="3">
      <formula>LEN(TRIM(G15))=0</formula>
    </cfRule>
  </conditionalFormatting>
  <conditionalFormatting sqref="G21:H24">
    <cfRule type="containsBlanks" dxfId="14" priority="2">
      <formula>LEN(TRIM(G21))=0</formula>
    </cfRule>
  </conditionalFormatting>
  <conditionalFormatting sqref="F28">
    <cfRule type="containsBlanks" dxfId="13" priority="1">
      <formula>LEN(TRIM(F28))=0</formula>
    </cfRule>
  </conditionalFormatting>
  <dataValidations count="2">
    <dataValidation type="date" showInputMessage="1" showErrorMessage="1" errorTitle="FECHA INVALIDA" promptTitle="Fecha de Generacion del Reporte " prompt="Diligenciar la fecha de Generacion de este Reporte de Procesos Judiciales Formato (DD/MM/AAAA)" sqref="D8">
      <formula1>44742</formula1>
      <formula2>44823</formula2>
    </dataValidation>
    <dataValidation type="whole" operator="greaterThanOrEqual" showInputMessage="1" showErrorMessage="1" errorTitle="Numero Invalido" promptTitle="Ingrese la cantidad Solicitada" prompt="Ingrese la cantidad Solicitada" sqref="D11:D13 D16:D17 D21:D22 D28:D32 G9:G11 G15:G18 G21:H24">
      <formula1>0</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V23"/>
  <sheetViews>
    <sheetView showGridLines="0" topLeftCell="A2" zoomScale="90" zoomScaleNormal="90" workbookViewId="0">
      <selection activeCell="D19" sqref="D19"/>
    </sheetView>
  </sheetViews>
  <sheetFormatPr baseColWidth="10" defaultRowHeight="15" x14ac:dyDescent="0.25"/>
  <cols>
    <col min="1" max="1" width="3.85546875" style="1" customWidth="1"/>
    <col min="2" max="2" width="11.42578125" style="1"/>
    <col min="3" max="3" width="57.85546875" style="1" customWidth="1"/>
    <col min="4" max="4" width="20.85546875" style="1" customWidth="1"/>
    <col min="5" max="5" width="6.28515625" style="1" customWidth="1"/>
    <col min="6" max="6" width="47.85546875" style="1" bestFit="1" customWidth="1"/>
    <col min="7" max="7" width="24.140625" style="1" customWidth="1"/>
    <col min="8" max="8" width="7.28515625" style="1" customWidth="1"/>
    <col min="9" max="16384" width="11.42578125" style="1"/>
  </cols>
  <sheetData>
    <row r="1" spans="2:22" ht="15.75" thickBot="1" x14ac:dyDescent="0.3"/>
    <row r="2" spans="2:22" x14ac:dyDescent="0.25">
      <c r="B2" s="29"/>
      <c r="C2" s="30"/>
      <c r="D2" s="30"/>
      <c r="E2" s="30"/>
      <c r="F2" s="30"/>
      <c r="G2" s="30"/>
      <c r="H2" s="31"/>
      <c r="V2" s="1">
        <f>+D13+D14</f>
        <v>6</v>
      </c>
    </row>
    <row r="3" spans="2:22" x14ac:dyDescent="0.25">
      <c r="B3" s="14"/>
      <c r="C3" s="15"/>
      <c r="D3" s="15"/>
      <c r="E3" s="15"/>
      <c r="F3" s="15"/>
      <c r="G3" s="15"/>
      <c r="H3" s="16"/>
      <c r="V3" s="28">
        <f>+IF(V2&lt;=20,V2,IF(ROUNDDOWN(V2*10%,0)&lt;20,20,ROUNDDOWN(V2*10%,0)))</f>
        <v>6</v>
      </c>
    </row>
    <row r="4" spans="2:22" x14ac:dyDescent="0.25">
      <c r="B4" s="14"/>
      <c r="C4" s="15"/>
      <c r="D4" s="15"/>
      <c r="E4" s="15"/>
      <c r="F4" s="15"/>
      <c r="G4" s="15"/>
      <c r="H4" s="16"/>
    </row>
    <row r="5" spans="2:22" x14ac:dyDescent="0.25">
      <c r="B5" s="14"/>
      <c r="C5" s="15"/>
      <c r="D5" s="15"/>
      <c r="E5" s="15"/>
      <c r="F5" s="15"/>
      <c r="G5" s="15"/>
      <c r="H5" s="16"/>
    </row>
    <row r="6" spans="2:22" ht="15" customHeight="1" x14ac:dyDescent="0.25">
      <c r="B6" s="14"/>
      <c r="C6" s="27"/>
      <c r="D6" s="27"/>
      <c r="E6" s="27"/>
      <c r="G6" s="32"/>
      <c r="H6" s="33"/>
    </row>
    <row r="7" spans="2:22" ht="23.25" x14ac:dyDescent="0.25">
      <c r="B7" s="14"/>
      <c r="C7" s="123" t="s">
        <v>146</v>
      </c>
      <c r="D7" s="123"/>
      <c r="E7" s="123"/>
      <c r="F7" s="123"/>
      <c r="G7" s="123"/>
      <c r="H7" s="33"/>
    </row>
    <row r="8" spans="2:22" x14ac:dyDescent="0.25">
      <c r="B8" s="14"/>
      <c r="C8" s="15"/>
      <c r="D8" s="15"/>
      <c r="E8" s="89" t="s">
        <v>143</v>
      </c>
      <c r="H8" s="16"/>
      <c r="T8" s="1" t="s">
        <v>13</v>
      </c>
    </row>
    <row r="9" spans="2:22" ht="15" customHeight="1" x14ac:dyDescent="0.25">
      <c r="B9" s="14"/>
      <c r="C9" s="23" t="s">
        <v>158</v>
      </c>
      <c r="D9" s="23" t="s">
        <v>23</v>
      </c>
      <c r="E9" s="6"/>
      <c r="F9" s="105" t="str">
        <f>"Seleccione una muestra de "&amp;V3&amp;" prejudiciales activos registrados antes de 1 de enero de 2022 y complete la siguiente tabla"</f>
        <v>Seleccione una muestra de 6 prejudiciales activos registrados antes de 1 de enero de 2022 y complete la siguiente tabla</v>
      </c>
      <c r="G9" s="106"/>
      <c r="H9" s="16"/>
      <c r="T9" s="1" t="s">
        <v>14</v>
      </c>
    </row>
    <row r="10" spans="2:22" x14ac:dyDescent="0.25">
      <c r="B10" s="14"/>
      <c r="C10" s="20" t="s">
        <v>174</v>
      </c>
      <c r="D10" s="78">
        <v>1</v>
      </c>
      <c r="E10" s="6"/>
      <c r="F10" s="107"/>
      <c r="G10" s="108"/>
      <c r="H10" s="16"/>
    </row>
    <row r="11" spans="2:22" x14ac:dyDescent="0.25">
      <c r="B11" s="14"/>
      <c r="C11" s="20" t="s">
        <v>52</v>
      </c>
      <c r="D11" s="78">
        <v>7</v>
      </c>
      <c r="E11" s="6"/>
      <c r="F11" s="24" t="s">
        <v>31</v>
      </c>
      <c r="G11" s="24" t="s">
        <v>54</v>
      </c>
      <c r="H11" s="16"/>
    </row>
    <row r="12" spans="2:22" x14ac:dyDescent="0.25">
      <c r="B12" s="14"/>
      <c r="C12" s="20" t="s">
        <v>159</v>
      </c>
      <c r="D12" s="78">
        <v>1</v>
      </c>
      <c r="E12" s="6"/>
      <c r="F12" s="36" t="s">
        <v>55</v>
      </c>
      <c r="G12" s="78">
        <v>0</v>
      </c>
      <c r="H12" s="16"/>
    </row>
    <row r="13" spans="2:22" x14ac:dyDescent="0.25">
      <c r="B13" s="14"/>
      <c r="C13" s="20" t="s">
        <v>161</v>
      </c>
      <c r="D13" s="78">
        <v>4</v>
      </c>
      <c r="E13" s="6"/>
      <c r="F13" s="20" t="s">
        <v>148</v>
      </c>
      <c r="G13" s="78">
        <v>6</v>
      </c>
      <c r="H13" s="16"/>
    </row>
    <row r="14" spans="2:22" x14ac:dyDescent="0.25">
      <c r="B14" s="14"/>
      <c r="C14" s="20" t="s">
        <v>160</v>
      </c>
      <c r="D14" s="78">
        <v>2</v>
      </c>
      <c r="E14" s="6"/>
      <c r="F14"/>
      <c r="G14"/>
      <c r="H14" s="16"/>
    </row>
    <row r="15" spans="2:22" x14ac:dyDescent="0.25">
      <c r="B15" s="14"/>
      <c r="E15" s="6"/>
      <c r="F15"/>
      <c r="G15"/>
      <c r="H15" s="16"/>
    </row>
    <row r="16" spans="2:22" x14ac:dyDescent="0.25">
      <c r="B16" s="14"/>
      <c r="C16" s="23" t="s">
        <v>147</v>
      </c>
      <c r="D16" s="23" t="s">
        <v>23</v>
      </c>
      <c r="E16" s="6"/>
      <c r="F16" s="125" t="s">
        <v>88</v>
      </c>
      <c r="G16" s="125"/>
      <c r="H16" s="16"/>
    </row>
    <row r="17" spans="2:8" x14ac:dyDescent="0.25">
      <c r="B17" s="14"/>
      <c r="C17" s="20" t="s">
        <v>179</v>
      </c>
      <c r="D17" s="78">
        <v>1</v>
      </c>
      <c r="E17" s="6"/>
      <c r="F17" s="121" t="s">
        <v>200</v>
      </c>
      <c r="G17" s="122"/>
      <c r="H17" s="16"/>
    </row>
    <row r="18" spans="2:8" x14ac:dyDescent="0.25">
      <c r="B18" s="14"/>
      <c r="C18" s="20" t="s">
        <v>187</v>
      </c>
      <c r="D18" s="78">
        <v>0</v>
      </c>
      <c r="E18" s="6"/>
      <c r="F18" s="122"/>
      <c r="G18" s="122"/>
      <c r="H18" s="16"/>
    </row>
    <row r="19" spans="2:8" x14ac:dyDescent="0.25">
      <c r="B19" s="14"/>
      <c r="C19"/>
      <c r="D19"/>
      <c r="E19" s="6"/>
      <c r="F19" s="122"/>
      <c r="G19" s="122"/>
      <c r="H19" s="16"/>
    </row>
    <row r="20" spans="2:8" x14ac:dyDescent="0.25">
      <c r="B20" s="14"/>
      <c r="C20"/>
      <c r="D20"/>
      <c r="E20" s="6"/>
      <c r="F20" s="122"/>
      <c r="G20" s="122"/>
      <c r="H20" s="16"/>
    </row>
    <row r="21" spans="2:8" x14ac:dyDescent="0.25">
      <c r="B21" s="14"/>
      <c r="E21" s="6"/>
      <c r="F21" s="122"/>
      <c r="G21" s="122"/>
      <c r="H21" s="16"/>
    </row>
    <row r="22" spans="2:8" x14ac:dyDescent="0.25">
      <c r="B22" s="14"/>
      <c r="C22" s="15"/>
      <c r="D22" s="15"/>
      <c r="E22" s="6"/>
      <c r="F22" s="122"/>
      <c r="G22" s="122"/>
      <c r="H22" s="16"/>
    </row>
    <row r="23" spans="2:8" ht="15.75" thickBot="1" x14ac:dyDescent="0.3">
      <c r="B23" s="17"/>
      <c r="C23" s="18"/>
      <c r="D23" s="18"/>
      <c r="E23" s="18"/>
      <c r="F23" s="18"/>
      <c r="G23" s="18"/>
      <c r="H23" s="19"/>
    </row>
  </sheetData>
  <sheetProtection algorithmName="SHA-512" hashValue="Wf5KuS89gzAkE/zlROayh3GmR2VHv5jD9K3uyAQup5YkvfIVH9881Kz9QUlC5khUuPa2X9qKcAYrADqr5rDyTQ==" saltValue="pjCYByopMlSVTaLu5XMRtw==" spinCount="100000" sheet="1" objects="1" scenarios="1"/>
  <mergeCells count="4">
    <mergeCell ref="F9:G10"/>
    <mergeCell ref="C7:G7"/>
    <mergeCell ref="F16:G16"/>
    <mergeCell ref="F17:G22"/>
  </mergeCells>
  <conditionalFormatting sqref="D10:D14">
    <cfRule type="containsBlanks" dxfId="12" priority="4">
      <formula>LEN(TRIM(D10))=0</formula>
    </cfRule>
  </conditionalFormatting>
  <conditionalFormatting sqref="D17:D18">
    <cfRule type="containsBlanks" dxfId="11" priority="3">
      <formula>LEN(TRIM(D17))=0</formula>
    </cfRule>
  </conditionalFormatting>
  <conditionalFormatting sqref="G12:G13">
    <cfRule type="containsBlanks" dxfId="10" priority="2">
      <formula>LEN(TRIM(G12))=0</formula>
    </cfRule>
  </conditionalFormatting>
  <conditionalFormatting sqref="F17">
    <cfRule type="containsBlanks" dxfId="9" priority="1">
      <formula>LEN(TRIM(F17))=0</formula>
    </cfRule>
  </conditionalFormatting>
  <dataValidations count="1">
    <dataValidation type="whole" operator="greaterThanOrEqual" showInputMessage="1" showErrorMessage="1" errorTitle="Numero Invalido" promptTitle="Ingrese la cantidad Solicitada" prompt="Ingrese la cantidad Solicitada" sqref="D10:D14 D17:D18 G12:G13">
      <formula1>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B1:V17"/>
  <sheetViews>
    <sheetView showGridLines="0" zoomScale="90" zoomScaleNormal="90" workbookViewId="0">
      <selection activeCell="C13" sqref="C13:G16"/>
    </sheetView>
  </sheetViews>
  <sheetFormatPr baseColWidth="10" defaultRowHeight="15" x14ac:dyDescent="0.25"/>
  <cols>
    <col min="1" max="1" width="3.85546875" style="1" customWidth="1"/>
    <col min="2" max="2" width="11.42578125" style="1"/>
    <col min="3" max="3" width="53.5703125" style="1" customWidth="1"/>
    <col min="4" max="4" width="20.85546875" style="1" customWidth="1"/>
    <col min="5" max="5" width="6.28515625" style="1" customWidth="1"/>
    <col min="6" max="6" width="64.5703125" style="1" customWidth="1"/>
    <col min="7" max="7" width="21.7109375" style="1" customWidth="1"/>
    <col min="8" max="8" width="7.28515625" style="1" customWidth="1"/>
    <col min="9" max="16384" width="11.42578125" style="1"/>
  </cols>
  <sheetData>
    <row r="1" spans="2:22" ht="15.75" thickBot="1" x14ac:dyDescent="0.3"/>
    <row r="2" spans="2:22" x14ac:dyDescent="0.25">
      <c r="B2" s="29"/>
      <c r="C2" s="30"/>
      <c r="D2" s="30"/>
      <c r="E2" s="30"/>
      <c r="F2" s="30"/>
      <c r="G2" s="30"/>
      <c r="H2" s="31"/>
    </row>
    <row r="3" spans="2:22" x14ac:dyDescent="0.25">
      <c r="B3" s="14"/>
      <c r="C3" s="15"/>
      <c r="D3" s="15"/>
      <c r="E3" s="15"/>
      <c r="F3" s="15"/>
      <c r="G3" s="15"/>
      <c r="H3" s="16"/>
      <c r="V3" s="28">
        <f>+IF(D10&lt;=10,D10,IF(ROUNDDOWN(D10*10%,0)&gt;10,10,ROUNDDOWN(D10*10%,0)))</f>
        <v>0</v>
      </c>
    </row>
    <row r="4" spans="2:22" x14ac:dyDescent="0.25">
      <c r="B4" s="14"/>
      <c r="C4" s="15"/>
      <c r="D4" s="15"/>
      <c r="E4" s="15"/>
      <c r="F4" s="15"/>
      <c r="G4" s="15"/>
      <c r="H4" s="16"/>
    </row>
    <row r="5" spans="2:22" x14ac:dyDescent="0.25">
      <c r="B5" s="14"/>
      <c r="C5" s="15"/>
      <c r="D5" s="15"/>
      <c r="E5" s="15"/>
      <c r="F5" s="15"/>
      <c r="G5" s="15"/>
      <c r="H5" s="16"/>
    </row>
    <row r="6" spans="2:22" ht="36.75" customHeight="1" x14ac:dyDescent="0.35">
      <c r="B6" s="14"/>
      <c r="C6" s="34" t="s">
        <v>67</v>
      </c>
      <c r="D6" s="35"/>
      <c r="E6" s="26"/>
      <c r="F6"/>
      <c r="G6"/>
      <c r="H6" s="33"/>
    </row>
    <row r="7" spans="2:22" x14ac:dyDescent="0.25">
      <c r="B7" s="14"/>
      <c r="C7" s="15" t="s">
        <v>143</v>
      </c>
      <c r="D7" s="15"/>
      <c r="E7" s="15"/>
      <c r="F7"/>
      <c r="G7"/>
      <c r="H7" s="16"/>
      <c r="T7" s="1" t="s">
        <v>13</v>
      </c>
    </row>
    <row r="8" spans="2:22" x14ac:dyDescent="0.25">
      <c r="B8" s="14"/>
      <c r="C8" s="23" t="s">
        <v>67</v>
      </c>
      <c r="D8" s="23" t="s">
        <v>23</v>
      </c>
      <c r="E8" s="6"/>
      <c r="F8" s="23" t="s">
        <v>67</v>
      </c>
      <c r="G8" s="23" t="s">
        <v>23</v>
      </c>
      <c r="H8" s="16"/>
      <c r="T8" s="1" t="s">
        <v>14</v>
      </c>
    </row>
    <row r="9" spans="2:22" x14ac:dyDescent="0.25">
      <c r="B9" s="14"/>
      <c r="C9" s="20" t="s">
        <v>175</v>
      </c>
      <c r="D9" s="78">
        <v>0</v>
      </c>
      <c r="E9" s="6"/>
      <c r="F9" s="20" t="s">
        <v>176</v>
      </c>
      <c r="G9" s="78">
        <v>0</v>
      </c>
      <c r="H9" s="16"/>
    </row>
    <row r="10" spans="2:22" x14ac:dyDescent="0.25">
      <c r="B10" s="14"/>
      <c r="C10" s="20" t="s">
        <v>180</v>
      </c>
      <c r="D10" s="78">
        <v>0</v>
      </c>
      <c r="E10" s="6"/>
      <c r="F10" s="20" t="s">
        <v>86</v>
      </c>
      <c r="G10" s="78">
        <v>0</v>
      </c>
      <c r="H10" s="16"/>
    </row>
    <row r="11" spans="2:22" x14ac:dyDescent="0.25">
      <c r="B11" s="14"/>
      <c r="C11" s="15"/>
      <c r="D11" s="55"/>
      <c r="E11" s="6"/>
      <c r="F11" s="15"/>
      <c r="G11" s="56"/>
      <c r="H11" s="16"/>
    </row>
    <row r="12" spans="2:22" x14ac:dyDescent="0.25">
      <c r="B12" s="14"/>
      <c r="C12" s="57" t="s">
        <v>90</v>
      </c>
      <c r="D12" s="55"/>
      <c r="E12" s="6"/>
      <c r="F12" s="15"/>
      <c r="G12" s="56"/>
      <c r="H12" s="16"/>
      <c r="T12" s="1">
        <f>IF(D9="",0,1)</f>
        <v>1</v>
      </c>
    </row>
    <row r="13" spans="2:22" x14ac:dyDescent="0.25">
      <c r="B13" s="14"/>
      <c r="C13" s="109" t="s">
        <v>194</v>
      </c>
      <c r="D13" s="110"/>
      <c r="E13" s="110"/>
      <c r="F13" s="110"/>
      <c r="G13" s="111"/>
      <c r="H13" s="16"/>
    </row>
    <row r="14" spans="2:22" x14ac:dyDescent="0.25">
      <c r="B14" s="14"/>
      <c r="C14" s="112"/>
      <c r="D14" s="113"/>
      <c r="E14" s="113"/>
      <c r="F14" s="113"/>
      <c r="G14" s="114"/>
      <c r="H14" s="16"/>
    </row>
    <row r="15" spans="2:22" x14ac:dyDescent="0.25">
      <c r="B15" s="14"/>
      <c r="C15" s="112"/>
      <c r="D15" s="113"/>
      <c r="E15" s="113"/>
      <c r="F15" s="113"/>
      <c r="G15" s="114"/>
      <c r="H15" s="16"/>
    </row>
    <row r="16" spans="2:22" x14ac:dyDescent="0.25">
      <c r="B16" s="14"/>
      <c r="C16" s="115"/>
      <c r="D16" s="116"/>
      <c r="E16" s="116"/>
      <c r="F16" s="116"/>
      <c r="G16" s="117"/>
      <c r="H16" s="16"/>
      <c r="T16" s="1">
        <f>IF(G9="",0,1)</f>
        <v>1</v>
      </c>
    </row>
    <row r="17" spans="2:20" ht="15.75" thickBot="1" x14ac:dyDescent="0.3">
      <c r="B17" s="17"/>
      <c r="C17" s="18"/>
      <c r="D17" s="18"/>
      <c r="E17" s="18"/>
      <c r="F17" s="18"/>
      <c r="G17" s="18"/>
      <c r="H17" s="19"/>
      <c r="T17" s="1">
        <f>+T12+T16</f>
        <v>2</v>
      </c>
    </row>
  </sheetData>
  <sheetProtection algorithmName="SHA-512" hashValue="+FCFzMTUyQz9xCbsVZjWh6VfuEuNyvSas18p2Zc+tciO//oKW2KvySRCIuGHsJUxL58937RSbcNcAVq208JAUg==" saltValue="SyOhJUcB2fukD14ffgbYiQ==" spinCount="100000" sheet="1"/>
  <mergeCells count="1">
    <mergeCell ref="C13:G16"/>
  </mergeCells>
  <conditionalFormatting sqref="C13">
    <cfRule type="containsBlanks" dxfId="8" priority="3">
      <formula>LEN(TRIM(C13))=0</formula>
    </cfRule>
  </conditionalFormatting>
  <conditionalFormatting sqref="D9:D10">
    <cfRule type="containsBlanks" dxfId="7" priority="2">
      <formula>LEN(TRIM(D9))=0</formula>
    </cfRule>
  </conditionalFormatting>
  <conditionalFormatting sqref="G9:G10">
    <cfRule type="containsBlanks" dxfId="6" priority="1">
      <formula>LEN(TRIM(G9))=0</formula>
    </cfRule>
  </conditionalFormatting>
  <dataValidations count="1">
    <dataValidation type="whole" operator="greaterThanOrEqual" showInputMessage="1" showErrorMessage="1" errorTitle="Numero Invalido" promptTitle="Ingrese la cantidad Solicitada" prompt="Ingrese la cantidad Solicitada" sqref="D9:D10 G9:G10">
      <formula1>0</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B1:V11"/>
  <sheetViews>
    <sheetView showGridLines="0" zoomScale="90" zoomScaleNormal="90" workbookViewId="0">
      <selection activeCell="D10" sqref="D10"/>
    </sheetView>
  </sheetViews>
  <sheetFormatPr baseColWidth="10" defaultRowHeight="15" x14ac:dyDescent="0.25"/>
  <cols>
    <col min="1" max="1" width="3.85546875" style="1" customWidth="1"/>
    <col min="2" max="2" width="11.42578125" style="1"/>
    <col min="3" max="3" width="44.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6384" width="11.42578125" style="1"/>
  </cols>
  <sheetData>
    <row r="1" spans="2:22" ht="15.75" thickBot="1" x14ac:dyDescent="0.3"/>
    <row r="2" spans="2:22" x14ac:dyDescent="0.25">
      <c r="B2" s="29"/>
      <c r="C2" s="30"/>
      <c r="D2" s="30"/>
      <c r="E2" s="30"/>
      <c r="F2" s="30"/>
      <c r="G2" s="30"/>
      <c r="H2" s="31"/>
    </row>
    <row r="3" spans="2:22" x14ac:dyDescent="0.25">
      <c r="B3" s="14"/>
      <c r="C3" s="15"/>
      <c r="D3" s="15"/>
      <c r="E3" s="15"/>
      <c r="F3" s="15"/>
      <c r="G3" s="15"/>
      <c r="H3" s="16"/>
      <c r="V3" s="28" t="e">
        <f>+IF(D10&lt;=10,D10,IF(ROUNDDOWN(D10*10%,0)&gt;10,10,ROUNDDOWN(D10*10%,0)))</f>
        <v>#VALUE!</v>
      </c>
    </row>
    <row r="4" spans="2:22" x14ac:dyDescent="0.25">
      <c r="B4" s="14"/>
      <c r="C4" s="15"/>
      <c r="D4" s="15"/>
      <c r="E4" s="15"/>
      <c r="F4" s="15"/>
      <c r="G4" s="15"/>
      <c r="H4" s="16"/>
    </row>
    <row r="5" spans="2:22" x14ac:dyDescent="0.25">
      <c r="B5" s="14"/>
      <c r="C5" s="15"/>
      <c r="D5" s="15"/>
      <c r="E5" s="15"/>
      <c r="F5" s="15"/>
      <c r="G5" s="15"/>
      <c r="H5" s="16"/>
    </row>
    <row r="6" spans="2:22" ht="21.75" customHeight="1" x14ac:dyDescent="0.35">
      <c r="B6" s="14"/>
      <c r="C6" s="123" t="s">
        <v>8</v>
      </c>
      <c r="D6" s="123"/>
      <c r="E6" s="26"/>
      <c r="F6"/>
      <c r="G6"/>
      <c r="H6" s="33"/>
      <c r="T6" s="1" t="s">
        <v>12</v>
      </c>
    </row>
    <row r="7" spans="2:22" x14ac:dyDescent="0.25">
      <c r="B7" s="14"/>
      <c r="C7" s="15" t="s">
        <v>143</v>
      </c>
      <c r="D7" s="15"/>
      <c r="E7" s="15"/>
      <c r="F7" s="58" t="s">
        <v>90</v>
      </c>
      <c r="G7"/>
      <c r="H7" s="16"/>
      <c r="T7" s="1" t="s">
        <v>13</v>
      </c>
    </row>
    <row r="8" spans="2:22" x14ac:dyDescent="0.25">
      <c r="B8" s="14"/>
      <c r="C8" s="23" t="s">
        <v>30</v>
      </c>
      <c r="D8" s="23" t="s">
        <v>23</v>
      </c>
      <c r="E8" s="6"/>
      <c r="F8" s="109" t="s">
        <v>195</v>
      </c>
      <c r="G8" s="111"/>
      <c r="H8" s="16"/>
      <c r="T8" s="1" t="s">
        <v>14</v>
      </c>
    </row>
    <row r="9" spans="2:22" x14ac:dyDescent="0.25">
      <c r="B9" s="14"/>
      <c r="C9" s="20" t="s">
        <v>71</v>
      </c>
      <c r="D9" s="78" t="s">
        <v>12</v>
      </c>
      <c r="E9" s="6"/>
      <c r="F9" s="112"/>
      <c r="G9" s="114"/>
      <c r="H9" s="16"/>
    </row>
    <row r="10" spans="2:22" x14ac:dyDescent="0.25">
      <c r="B10" s="14"/>
      <c r="C10" s="20" t="s">
        <v>188</v>
      </c>
      <c r="D10" s="78" t="s">
        <v>13</v>
      </c>
      <c r="E10" s="6"/>
      <c r="F10" s="115"/>
      <c r="G10" s="117"/>
      <c r="H10" s="16"/>
    </row>
    <row r="11" spans="2:22" ht="15.75" thickBot="1" x14ac:dyDescent="0.3">
      <c r="B11" s="17"/>
      <c r="C11" s="18"/>
      <c r="D11" s="18"/>
      <c r="E11" s="18"/>
      <c r="F11" s="18"/>
      <c r="G11" s="18"/>
      <c r="H11" s="19"/>
    </row>
  </sheetData>
  <sheetProtection algorithmName="SHA-512" hashValue="5qujBfQQ7RZMhSfW3LqfxXxVuPd8KbOJQKh15P8GKG8cOXsJPu3apxq/6MgUYGlAEizpvLIU3x8ux0MZK7Zg3A==" saltValue="jV6bSp1iEYBcnSzTRXO6Og==" spinCount="100000" sheet="1" objects="1" scenarios="1"/>
  <mergeCells count="2">
    <mergeCell ref="C6:D6"/>
    <mergeCell ref="F8:G10"/>
  </mergeCells>
  <conditionalFormatting sqref="D9">
    <cfRule type="containsBlanks" dxfId="5" priority="3">
      <formula>LEN(TRIM(D9))=0</formula>
    </cfRule>
  </conditionalFormatting>
  <conditionalFormatting sqref="F8">
    <cfRule type="containsBlanks" dxfId="4" priority="2">
      <formula>LEN(TRIM(F8))=0</formula>
    </cfRule>
  </conditionalFormatting>
  <conditionalFormatting sqref="D10">
    <cfRule type="containsBlanks" dxfId="3" priority="1">
      <formula>LEN(TRIM(D10))=0</formula>
    </cfRule>
  </conditionalFormatting>
  <dataValidations xWindow="514" yWindow="409" count="2">
    <dataValidation type="list" showInputMessage="1" showErrorMessage="1" promptTitle="Gestiona o No Pagos" prompt="Indique si su entidad Gestiona o No pagos o reliza Informes a traves de SIIF" sqref="D9">
      <formula1>$T$6:$T$7</formula1>
    </dataValidation>
    <dataValidation type="list" showInputMessage="1" showErrorMessage="1" promptTitle="Uso del Modulo de Pagos" prompt="Indique si su entidad Gestiona o No pagos o reliza Informes a traves de SIIF" sqref="D10">
      <formula1>$T$6:$T$7</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B2:M28"/>
  <sheetViews>
    <sheetView showGridLines="0" tabSelected="1" zoomScale="90" zoomScaleNormal="90" workbookViewId="0">
      <selection activeCell="D1" sqref="D1"/>
    </sheetView>
  </sheetViews>
  <sheetFormatPr baseColWidth="10" defaultRowHeight="15" x14ac:dyDescent="0.25"/>
  <cols>
    <col min="2" max="2" width="42.7109375" customWidth="1"/>
    <col min="3" max="3" width="14.5703125" bestFit="1" customWidth="1"/>
    <col min="5" max="5" width="33" bestFit="1" customWidth="1"/>
    <col min="6" max="6" width="14.5703125" bestFit="1" customWidth="1"/>
  </cols>
  <sheetData>
    <row r="2" spans="2:13" ht="18.75" x14ac:dyDescent="0.3">
      <c r="B2" s="129" t="s">
        <v>10</v>
      </c>
      <c r="C2" s="129"/>
      <c r="D2" s="129"/>
      <c r="E2" s="129"/>
      <c r="F2" s="129"/>
      <c r="G2" s="129"/>
      <c r="H2" s="46"/>
      <c r="I2" s="46"/>
      <c r="J2" s="46"/>
      <c r="K2" s="46"/>
      <c r="L2" s="46"/>
      <c r="M2" s="47"/>
    </row>
    <row r="3" spans="2:13" ht="18.75" x14ac:dyDescent="0.3">
      <c r="B3" s="129" t="s">
        <v>11</v>
      </c>
      <c r="C3" s="129"/>
      <c r="D3" s="129"/>
      <c r="E3" s="129"/>
      <c r="F3" s="129"/>
      <c r="G3" s="129"/>
      <c r="H3" s="46"/>
      <c r="I3" s="46"/>
      <c r="J3" s="46"/>
      <c r="K3" s="46"/>
      <c r="L3" s="46"/>
      <c r="M3" s="47"/>
    </row>
    <row r="4" spans="2:13" ht="24" thickBot="1" x14ac:dyDescent="0.4">
      <c r="B4" s="41"/>
      <c r="C4" s="90"/>
      <c r="D4" s="90" t="s">
        <v>178</v>
      </c>
      <c r="E4" s="41"/>
      <c r="F4" s="41"/>
      <c r="G4" s="41"/>
      <c r="H4" s="41"/>
      <c r="I4" s="41"/>
      <c r="J4" s="41"/>
      <c r="K4" s="41"/>
      <c r="L4" s="41"/>
      <c r="M4" s="41"/>
    </row>
    <row r="5" spans="2:13" ht="15.75" thickBot="1" x14ac:dyDescent="0.3">
      <c r="B5" t="s">
        <v>183</v>
      </c>
      <c r="C5" s="126" t="s">
        <v>197</v>
      </c>
      <c r="D5" s="127"/>
      <c r="E5" s="127"/>
      <c r="F5" s="127"/>
      <c r="G5" s="128"/>
      <c r="H5" s="6"/>
      <c r="I5" s="6"/>
      <c r="J5" s="6"/>
    </row>
    <row r="6" spans="2:13" ht="15.75" thickBot="1" x14ac:dyDescent="0.3">
      <c r="B6" t="s">
        <v>184</v>
      </c>
      <c r="C6" s="126" t="s">
        <v>189</v>
      </c>
      <c r="D6" s="127"/>
      <c r="E6" s="127"/>
      <c r="F6" s="127"/>
      <c r="G6" s="128"/>
      <c r="H6" s="45"/>
      <c r="I6" s="45"/>
      <c r="J6" s="45"/>
    </row>
    <row r="7" spans="2:13" x14ac:dyDescent="0.25">
      <c r="H7" s="6"/>
      <c r="I7" s="6"/>
      <c r="J7" s="6"/>
    </row>
    <row r="8" spans="2:13" x14ac:dyDescent="0.25">
      <c r="B8" t="s">
        <v>37</v>
      </c>
      <c r="C8" s="44" t="str">
        <f>+IF(SUM(USUARIOS!I12:J17)=0,"Falta diligenciar","")</f>
        <v/>
      </c>
      <c r="E8" t="s">
        <v>74</v>
      </c>
      <c r="F8" s="44" t="str">
        <f>+IF(PREJUDICIALES!$D$10="","Falta  actualizar","")</f>
        <v/>
      </c>
    </row>
    <row r="9" spans="2:13" x14ac:dyDescent="0.25">
      <c r="B9" s="43" t="s">
        <v>40</v>
      </c>
      <c r="C9" s="88">
        <f>+SUM(USUARIOS!I12:I17)/(6-SUM(USUARIOS!H12:H17))</f>
        <v>1</v>
      </c>
      <c r="E9" s="43" t="s">
        <v>45</v>
      </c>
      <c r="F9" s="87">
        <f>+PREJUDICIALES!$D$11</f>
        <v>7</v>
      </c>
    </row>
    <row r="10" spans="2:13" x14ac:dyDescent="0.25">
      <c r="B10" s="43" t="s">
        <v>38</v>
      </c>
      <c r="C10" s="87">
        <f>+ABOGADOS!$D$12+SUM(USUARIOS!I12:I17)</f>
        <v>9</v>
      </c>
      <c r="E10" s="43" t="s">
        <v>43</v>
      </c>
      <c r="F10" s="88">
        <f>IFERROR(PREJUDICIALES!$D$11/PREJUDICIALES!$D$10,"")</f>
        <v>7</v>
      </c>
    </row>
    <row r="11" spans="2:13" x14ac:dyDescent="0.25">
      <c r="B11" s="43" t="s">
        <v>9</v>
      </c>
      <c r="C11" s="87" t="s">
        <v>104</v>
      </c>
      <c r="E11" s="43" t="s">
        <v>46</v>
      </c>
      <c r="F11" s="88">
        <f>IFERROR(PREJUDICIALES!$G$13/PREJUDICIALES!$V$3,"")</f>
        <v>1</v>
      </c>
    </row>
    <row r="12" spans="2:13" x14ac:dyDescent="0.25">
      <c r="B12" s="43" t="s">
        <v>39</v>
      </c>
      <c r="C12" s="88">
        <f>IFERROR((ABOGADOS!$G$17+ABOGADOS!$G$18+ABOGADOS!$G$19*0.5)/ABOGADOS!D12,"")</f>
        <v>0.33333333333333331</v>
      </c>
    </row>
    <row r="13" spans="2:13" x14ac:dyDescent="0.25">
      <c r="E13" t="s">
        <v>67</v>
      </c>
      <c r="F13" s="44" t="str">
        <f>+IF(ARBITRAMENTOS!T17=0,"Falta  actualizar","")</f>
        <v/>
      </c>
    </row>
    <row r="14" spans="2:13" x14ac:dyDescent="0.25">
      <c r="B14" t="s">
        <v>73</v>
      </c>
      <c r="C14" s="44" t="str">
        <f>+IF(JUDICIALES!$D$11="","Falta  actualizar","")</f>
        <v/>
      </c>
      <c r="E14" s="43" t="s">
        <v>44</v>
      </c>
      <c r="F14" s="87">
        <f>+ARBITRAMENTOS!D10</f>
        <v>0</v>
      </c>
    </row>
    <row r="15" spans="2:13" x14ac:dyDescent="0.25">
      <c r="B15" s="43" t="s">
        <v>41</v>
      </c>
      <c r="C15" s="87">
        <f>+JUDICIALES!$D$12</f>
        <v>27</v>
      </c>
      <c r="E15" s="43" t="s">
        <v>43</v>
      </c>
      <c r="F15" s="88" t="str">
        <f>IFERROR(ARBITRAMENTOS!D10/ARBITRAMENTOS!D9,"")</f>
        <v/>
      </c>
    </row>
    <row r="16" spans="2:13" x14ac:dyDescent="0.25">
      <c r="B16" s="43" t="s">
        <v>43</v>
      </c>
      <c r="C16" s="88">
        <f>IFERROR(JUDICIALES!$D$12/JUDICIALES!$D$11,"")</f>
        <v>1</v>
      </c>
    </row>
    <row r="17" spans="2:6" x14ac:dyDescent="0.25">
      <c r="B17" s="43" t="s">
        <v>47</v>
      </c>
      <c r="C17" s="88" t="str">
        <f>IFERROR(JUDICIALES!$G$11/JUDICIALES!$G$10,"")</f>
        <v/>
      </c>
      <c r="E17" t="s">
        <v>70</v>
      </c>
      <c r="F17" s="44" t="str">
        <f>+IF(PAGOS!D9="","Falta  actualizar","")</f>
        <v/>
      </c>
    </row>
    <row r="18" spans="2:6" x14ac:dyDescent="0.25">
      <c r="B18" s="43" t="s">
        <v>42</v>
      </c>
      <c r="C18" s="87">
        <f>IFERROR(C15/ABOGADOS!$D$12,"")</f>
        <v>9</v>
      </c>
      <c r="E18" s="43" t="s">
        <v>186</v>
      </c>
      <c r="F18" s="87" t="str">
        <f>+IF(PAGOS!D10="No","No","Si")</f>
        <v>No</v>
      </c>
    </row>
    <row r="19" spans="2:6" x14ac:dyDescent="0.25">
      <c r="B19" s="43" t="s">
        <v>72</v>
      </c>
      <c r="C19" s="88">
        <f>IFERROR(1-(JUDICIALES!$H$22+JUDICIALES!$H$23+JUDICIALES!$H$24)/(JUDICIALES!$G$22+JUDICIALES!$G$23+JUDICIALES!$G$24),"")</f>
        <v>0.82608695652173914</v>
      </c>
      <c r="E19" s="43" t="s">
        <v>182</v>
      </c>
      <c r="F19" s="87" t="str">
        <f>+IF(PAGOS!D9="No","No aplica","Si")</f>
        <v>Si</v>
      </c>
    </row>
    <row r="21" spans="2:6" ht="15.75" thickBot="1" x14ac:dyDescent="0.3"/>
    <row r="22" spans="2:6" x14ac:dyDescent="0.25">
      <c r="B22" s="2" t="s">
        <v>90</v>
      </c>
      <c r="C22" s="3"/>
      <c r="D22" s="3"/>
      <c r="E22" s="3"/>
      <c r="F22" s="4"/>
    </row>
    <row r="23" spans="2:6" x14ac:dyDescent="0.25">
      <c r="B23" s="109" t="s">
        <v>201</v>
      </c>
      <c r="C23" s="110"/>
      <c r="D23" s="110"/>
      <c r="E23" s="110"/>
      <c r="F23" s="111"/>
    </row>
    <row r="24" spans="2:6" x14ac:dyDescent="0.25">
      <c r="B24" s="112"/>
      <c r="C24" s="113"/>
      <c r="D24" s="113"/>
      <c r="E24" s="113"/>
      <c r="F24" s="114"/>
    </row>
    <row r="25" spans="2:6" x14ac:dyDescent="0.25">
      <c r="B25" s="112"/>
      <c r="C25" s="113"/>
      <c r="D25" s="113"/>
      <c r="E25" s="113"/>
      <c r="F25" s="114"/>
    </row>
    <row r="26" spans="2:6" x14ac:dyDescent="0.25">
      <c r="B26" s="115"/>
      <c r="C26" s="116"/>
      <c r="D26" s="116"/>
      <c r="E26" s="116"/>
      <c r="F26" s="117"/>
    </row>
    <row r="27" spans="2:6" x14ac:dyDescent="0.25">
      <c r="B27" t="s">
        <v>177</v>
      </c>
    </row>
    <row r="28" spans="2:6" x14ac:dyDescent="0.25">
      <c r="B28" t="s">
        <v>185</v>
      </c>
    </row>
  </sheetData>
  <sheetProtection algorithmName="SHA-512" hashValue="MI9IAg9m6njNGmuBCGKgMta3QjAcMvvvmQcsk91qXfKK89k6AsSUy+qvJRfgCqbJjnNMaffzwJpEaNlzAWfS9g==" saltValue="KYBE4UEMNlJg3uLSyGLznw==" spinCount="100000" sheet="1" objects="1" scenarios="1"/>
  <mergeCells count="5">
    <mergeCell ref="C5:G5"/>
    <mergeCell ref="C6:G6"/>
    <mergeCell ref="B2:G2"/>
    <mergeCell ref="B3:G3"/>
    <mergeCell ref="B23:F26"/>
  </mergeCells>
  <conditionalFormatting sqref="B23">
    <cfRule type="containsBlanks" dxfId="2" priority="3">
      <formula>LEN(TRIM(B23))=0</formula>
    </cfRule>
  </conditionalFormatting>
  <conditionalFormatting sqref="C5">
    <cfRule type="containsBlanks" dxfId="1" priority="2">
      <formula>LEN(TRIM(C5))=0</formula>
    </cfRule>
  </conditionalFormatting>
  <conditionalFormatting sqref="C6">
    <cfRule type="containsBlanks" dxfId="0" priority="1">
      <formula>LEN(TRIM(C6))=0</formula>
    </cfRule>
  </conditionalFormatting>
  <dataValidations count="2">
    <dataValidation allowBlank="1" showInputMessage="1" showErrorMessage="1" promptTitle="Nombres y Apellidos" prompt="Diligencie los nombres y apellidos del jefe de control interno que esta reportando" sqref="C6:G6"/>
    <dataValidation allowBlank="1" showInputMessage="1" showErrorMessage="1" promptTitle="Nombre entidad que reporta" prompt="Diligenciar Nombre de entidad" sqref="C5:G5"/>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2:BO18"/>
  <sheetViews>
    <sheetView topLeftCell="BI1" zoomScaleNormal="100" workbookViewId="0">
      <selection activeCell="BO3" sqref="BO3"/>
    </sheetView>
  </sheetViews>
  <sheetFormatPr baseColWidth="10" defaultColWidth="10.7109375" defaultRowHeight="15" x14ac:dyDescent="0.25"/>
  <cols>
    <col min="1" max="1" width="34.5703125" style="69" customWidth="1"/>
    <col min="2" max="2" width="29.5703125" style="69" customWidth="1"/>
    <col min="3" max="16384" width="10.7109375" style="69"/>
  </cols>
  <sheetData>
    <row r="2" spans="1:67" x14ac:dyDescent="0.25">
      <c r="A2" s="72" t="s">
        <v>36</v>
      </c>
      <c r="B2" s="72" t="s">
        <v>108</v>
      </c>
      <c r="C2" s="72" t="s">
        <v>21</v>
      </c>
      <c r="D2" s="72" t="s">
        <v>22</v>
      </c>
      <c r="E2" s="72" t="s">
        <v>26</v>
      </c>
      <c r="F2" s="72" t="s">
        <v>20</v>
      </c>
      <c r="G2" s="72" t="s">
        <v>97</v>
      </c>
      <c r="H2" s="73" t="s">
        <v>98</v>
      </c>
      <c r="I2" s="74" t="s">
        <v>109</v>
      </c>
      <c r="J2" s="74" t="s">
        <v>110</v>
      </c>
      <c r="K2" s="74" t="s">
        <v>111</v>
      </c>
      <c r="L2" s="74" t="s">
        <v>112</v>
      </c>
      <c r="M2" s="74" t="s">
        <v>113</v>
      </c>
      <c r="N2" s="74" t="s">
        <v>114</v>
      </c>
      <c r="O2" s="74" t="s">
        <v>115</v>
      </c>
      <c r="P2" s="72" t="s">
        <v>27</v>
      </c>
      <c r="Q2" s="72" t="s">
        <v>28</v>
      </c>
      <c r="R2" s="72" t="s">
        <v>29</v>
      </c>
      <c r="S2" s="72" t="s">
        <v>116</v>
      </c>
      <c r="T2" s="72" t="s">
        <v>117</v>
      </c>
      <c r="U2" s="72" t="s">
        <v>35</v>
      </c>
      <c r="V2" s="72" t="s">
        <v>118</v>
      </c>
      <c r="W2" s="72" t="s">
        <v>81</v>
      </c>
      <c r="X2" s="72" t="s">
        <v>82</v>
      </c>
      <c r="Y2" s="72" t="s">
        <v>83</v>
      </c>
      <c r="Z2" s="72" t="s">
        <v>84</v>
      </c>
      <c r="AA2" s="72" t="s">
        <v>85</v>
      </c>
      <c r="AB2" s="74" t="s">
        <v>119</v>
      </c>
      <c r="AC2" s="74" t="s">
        <v>120</v>
      </c>
      <c r="AD2" s="74" t="s">
        <v>121</v>
      </c>
      <c r="AE2" s="72" t="s">
        <v>33</v>
      </c>
      <c r="AF2" s="72" t="s">
        <v>58</v>
      </c>
      <c r="AG2" s="72" t="s">
        <v>59</v>
      </c>
      <c r="AH2" s="72" t="s">
        <v>34</v>
      </c>
      <c r="AI2" s="72" t="s">
        <v>122</v>
      </c>
      <c r="AJ2" s="72" t="s">
        <v>123</v>
      </c>
      <c r="AK2" s="72" t="s">
        <v>124</v>
      </c>
      <c r="AL2" s="72" t="s">
        <v>125</v>
      </c>
      <c r="AM2" s="72" t="s">
        <v>126</v>
      </c>
      <c r="AN2" s="72" t="s">
        <v>127</v>
      </c>
      <c r="AO2" s="72" t="s">
        <v>128</v>
      </c>
      <c r="AP2" s="72" t="s">
        <v>129</v>
      </c>
      <c r="AQ2" s="75" t="s">
        <v>51</v>
      </c>
      <c r="AR2" s="75" t="s">
        <v>52</v>
      </c>
      <c r="AS2" s="75" t="s">
        <v>48</v>
      </c>
      <c r="AT2" s="75" t="s">
        <v>49</v>
      </c>
      <c r="AU2" s="75" t="s">
        <v>50</v>
      </c>
      <c r="AV2" s="75" t="s">
        <v>53</v>
      </c>
      <c r="AW2" s="75" t="s">
        <v>66</v>
      </c>
      <c r="AX2" s="75" t="s">
        <v>55</v>
      </c>
      <c r="AY2" s="75" t="s">
        <v>56</v>
      </c>
      <c r="AZ2" s="75" t="s">
        <v>68</v>
      </c>
      <c r="BA2" s="75" t="s">
        <v>69</v>
      </c>
      <c r="BB2" s="76" t="s">
        <v>130</v>
      </c>
      <c r="BC2" s="76" t="s">
        <v>86</v>
      </c>
      <c r="BD2" s="77" t="s">
        <v>131</v>
      </c>
      <c r="BE2" s="77" t="s">
        <v>132</v>
      </c>
      <c r="BF2" s="77" t="s">
        <v>133</v>
      </c>
      <c r="BG2" s="77" t="s">
        <v>134</v>
      </c>
      <c r="BH2" s="77" t="s">
        <v>135</v>
      </c>
      <c r="BI2" s="77" t="s">
        <v>136</v>
      </c>
      <c r="BJ2" s="77" t="s">
        <v>137</v>
      </c>
      <c r="BK2" s="77" t="s">
        <v>138</v>
      </c>
      <c r="BL2" s="77" t="s">
        <v>139</v>
      </c>
      <c r="BM2" s="77" t="s">
        <v>140</v>
      </c>
      <c r="BN2" s="77" t="s">
        <v>141</v>
      </c>
      <c r="BO2" s="77" t="s">
        <v>142</v>
      </c>
    </row>
    <row r="3" spans="1:67" x14ac:dyDescent="0.25">
      <c r="A3" s="69" t="str">
        <f>'Resumen General'!C5</f>
        <v>SUPERINTENDENCIA DEL SUBSIDIO FAMILIAR</v>
      </c>
      <c r="B3" s="69" t="str">
        <f>'Resumen General'!C6</f>
        <v>JOSE WILLIAM CASALLAS FANDIÑO</v>
      </c>
      <c r="C3" s="69">
        <f>+ABOGADOS!D11</f>
        <v>1</v>
      </c>
      <c r="D3" s="69">
        <f>+ABOGADOS!D12</f>
        <v>3</v>
      </c>
      <c r="E3" s="69">
        <f>+ABOGADOS!D13</f>
        <v>1</v>
      </c>
      <c r="F3" s="69">
        <f>+ABOGADOS!D14</f>
        <v>0</v>
      </c>
      <c r="G3" s="69">
        <f>+ABOGADOS!D17</f>
        <v>0</v>
      </c>
      <c r="H3" s="69">
        <f>+ABOGADOS!D18</f>
        <v>0</v>
      </c>
      <c r="I3" s="69">
        <f>+ABOGADOS!G10</f>
        <v>1</v>
      </c>
      <c r="J3" s="69">
        <f>+ABOGADOS!G11</f>
        <v>1</v>
      </c>
      <c r="K3" s="69">
        <f>+ABOGADOS!G12</f>
        <v>1</v>
      </c>
      <c r="L3" s="69">
        <f>+ABOGADOS!G17</f>
        <v>1</v>
      </c>
      <c r="M3" s="69">
        <f>+ABOGADOS!G18</f>
        <v>0</v>
      </c>
      <c r="N3" s="69">
        <f>+ABOGADOS!G19</f>
        <v>0</v>
      </c>
      <c r="O3" s="69">
        <f>+ABOGADOS!G21</f>
        <v>0</v>
      </c>
      <c r="P3" s="69">
        <f>+JUDICIALES!D11</f>
        <v>27</v>
      </c>
      <c r="Q3" s="69">
        <f>+JUDICIALES!D12</f>
        <v>27</v>
      </c>
      <c r="R3" s="69">
        <f>+JUDICIALES!D13</f>
        <v>0</v>
      </c>
      <c r="S3" s="69">
        <f>+JUDICIALES!D16</f>
        <v>6</v>
      </c>
      <c r="T3" s="69">
        <f>+JUDICIALES!D17</f>
        <v>1</v>
      </c>
      <c r="U3" s="69">
        <f>+JUDICIALES!D21</f>
        <v>97</v>
      </c>
      <c r="V3" s="69">
        <f>+JUDICIALES!D22</f>
        <v>1</v>
      </c>
      <c r="W3" s="69">
        <f>JUDICIALES!D28</f>
        <v>1</v>
      </c>
      <c r="X3" s="69">
        <f>JUDICIALES!D29</f>
        <v>0</v>
      </c>
      <c r="Y3" s="69">
        <f>JUDICIALES!D30</f>
        <v>0</v>
      </c>
      <c r="Z3" s="69">
        <f>JUDICIALES!D31</f>
        <v>0</v>
      </c>
      <c r="AA3" s="69">
        <f>JUDICIALES!D32</f>
        <v>0</v>
      </c>
      <c r="AB3" s="69">
        <f>+JUDICIALES!G9</f>
        <v>0</v>
      </c>
      <c r="AC3" s="69">
        <f>+JUDICIALES!G10</f>
        <v>0</v>
      </c>
      <c r="AD3" s="69">
        <f>+JUDICIALES!G11</f>
        <v>0</v>
      </c>
      <c r="AE3" s="69">
        <f>+JUDICIALES!G15</f>
        <v>26</v>
      </c>
      <c r="AF3" s="69">
        <f>+JUDICIALES!G16</f>
        <v>2</v>
      </c>
      <c r="AG3" s="69">
        <f>+JUDICIALES!G17</f>
        <v>23</v>
      </c>
      <c r="AH3" s="69">
        <f>+JUDICIALES!G18</f>
        <v>1</v>
      </c>
      <c r="AI3" s="69">
        <f>+JUDICIALES!G21</f>
        <v>2</v>
      </c>
      <c r="AJ3" s="69">
        <f>+JUDICIALES!G22</f>
        <v>18</v>
      </c>
      <c r="AK3" s="69">
        <f>+JUDICIALES!G23</f>
        <v>1</v>
      </c>
      <c r="AL3" s="69">
        <f>+JUDICIALES!G24</f>
        <v>4</v>
      </c>
      <c r="AM3" s="69">
        <f>+JUDICIALES!H21</f>
        <v>0</v>
      </c>
      <c r="AN3" s="69">
        <f>+JUDICIALES!H22</f>
        <v>4</v>
      </c>
      <c r="AO3" s="69">
        <f>+JUDICIALES!H23</f>
        <v>0</v>
      </c>
      <c r="AP3" s="69">
        <f>+JUDICIALES!H24</f>
        <v>0</v>
      </c>
      <c r="AQ3" s="69">
        <f>+PREJUDICIALES!D10</f>
        <v>1</v>
      </c>
      <c r="AR3" s="69">
        <f>+PREJUDICIALES!D11</f>
        <v>7</v>
      </c>
      <c r="AS3" s="69">
        <f>+PREJUDICIALES!D12</f>
        <v>1</v>
      </c>
      <c r="AT3" s="69">
        <f>+PREJUDICIALES!D13</f>
        <v>4</v>
      </c>
      <c r="AU3" s="69">
        <f>+PREJUDICIALES!D14</f>
        <v>2</v>
      </c>
      <c r="AV3" s="69">
        <f>+PREJUDICIALES!D17</f>
        <v>1</v>
      </c>
      <c r="AW3" s="69">
        <f>+PREJUDICIALES!D18</f>
        <v>0</v>
      </c>
      <c r="AX3" s="69">
        <f>+PREJUDICIALES!G12</f>
        <v>0</v>
      </c>
      <c r="AY3" s="69">
        <f>+PREJUDICIALES!G13</f>
        <v>6</v>
      </c>
      <c r="AZ3" s="69">
        <f>+ARBITRAMENTOS!D9</f>
        <v>0</v>
      </c>
      <c r="BA3" s="69">
        <f>+ARBITRAMENTOS!D10</f>
        <v>0</v>
      </c>
      <c r="BB3" s="69">
        <f>ARBITRAMENTOS!G9</f>
        <v>0</v>
      </c>
      <c r="BC3" s="69">
        <f>ARBITRAMENTOS!G10</f>
        <v>0</v>
      </c>
      <c r="BD3" s="69" t="str">
        <f>+PAGOS!D9</f>
        <v>Si</v>
      </c>
      <c r="BE3" s="69" t="str">
        <f>+PAGOS!D10</f>
        <v>No</v>
      </c>
      <c r="BF3" s="70">
        <f>USUARIOS!D9</f>
        <v>44802</v>
      </c>
      <c r="BG3" s="70">
        <f>ABOGADOS!D7</f>
        <v>44802</v>
      </c>
      <c r="BH3" s="70">
        <f>JUDICIALES!D8</f>
        <v>44802</v>
      </c>
      <c r="BI3" s="69" t="str">
        <f>+USUARIOS!C19</f>
        <v xml:space="preserve">Conforme a la información suministrada por la Oficina Asesora Jurídica, se observa que, durante el primer semestre de 2022, el usuario con rol "Jefe Jurídico" y "administrador del sistema" se encuentra sin capacitación del sistema eKOGUI versión 2.0 para cada uno de sus roles. Por consiguiente,  se recomienda programar asistencia a capacitaciones ante la ANDJE con el fin de actualizarse en el funcionamiento de la versión 2.0 del sistema eKOGUI en su respectivo rol, de conformidad con lo dispuesto en el Decreto 1069 de 2015, artículo 2.2.3.4.1.13. "Funciones comunes para los usuarios del Sistema Único de Gestión e Información Litigiosa del Estado - eKOGUI" numeral 1 "Asistir a las jornadas de capacitación sobre el uso y alcance del Sistema Único de Gestión e Información de la Actividad Litigiosa del Estado - eKOGUI, que convoque la Agencia Nacional de Defensa Jurídica del Estado o el administrador de entidad.".
</v>
      </c>
      <c r="BJ3" s="69" t="str">
        <f>+ABOGADOS!C22</f>
        <v>Se observó que con corte a 30-06-2022 la usuaria AURA ELVIRA GOMEZ MARTINEZ con rol “Abogado“ continuaba activa en el sistema, desvinculada de la Entidad desde el mes de junio de 2020, en el mismo sentido, se identificó que el usuario RAMIRO RODRIGUEZ LOPEZ con rol "Abogado" continuaba como activo en el sistema durante el primer semestre de 2022 que terminó su relación contractual en la Entidad a 31 de diciembre de 2021. Al respecto, se evidencia en el sistema Ekogui que fueron desactividos hasta el 4-08-2022 y 10-08-2022, por consiguiente, la información de correo, estudios, experiencia, laboral y de capacitación no fue registrada en los campos correspondientes. De acuerdo con lo antes observado, la Oficina Asesora Jurídica manifestó en correo del 5-09-2022 que "el rol pudo ser desactivado el día 4 de agosto de 2022, por inconvenientes con la plataforma eKOGUI", por lo anterior, se recomienda al usuario con rol Administrador de la Entidad realizar las inactivaciones de los usuarios en el sistema oportunamente, de conformidad con lo establecido en el Decreto 1069 de 2015, artículo 2.2.3.4.1.9. "Funciones del administrador del Sistema en la entidad." numeral 5 "Crear, asignar claves de acceso e inactivar dentro del Sistema Único de Gestión e Información Litigiosa del Estado - eKOGUI, a los usuarios de la entidad de conformidad con los instructivos que la Agencia expida para tal fin." ycuando no sea posible adelantar las gestiones necesarias con soporte eKOGUI para realizar las mismas.</v>
      </c>
      <c r="BK3" s="69" t="str">
        <f>+JUDICIALES!F28</f>
        <v>1. Procesos terminados: La Oficina Asesora Jurídica informó que seis (6) procesos fueron terminados durante el primer semestre de 2022, no obstante, de acuerdo con la consulta realizada en el sistema Ekogui se identificó un (1) proceso judicial con actuación de terminación del proceso el 13-05-2022 de Auto que decreta desistimiento. Respecto de los 6 procesos que reportó la Oficina Asesora Jurídica como terminados, aclaró que: "Los procesos que se hace referencia tuvieron fallo en el año 2021; sin embargo, se dieron por terminados en eKOGUI durante el primer semestre de 2022 a la espera de que no se interpusiera ningún tipo de recurso judicial.".
2. Actualización: De acuerdo con el reporte generado desde el sistema Ekogui de los procesos judiciales activos, se observa que el proceso con ID EKOGUI No. 160236 se encuentra en estado terminado, al respecto, la Oficina Asesora Jurídica informó que: "Posiblemente aparezca en estado terminado para alguna de las entidades vinculadas; sin embargo, lo que respecta para la SSF, este proceso está en estado activo como consta en la plataforma eKOGUI.".
3. Calificación del riesgo: De acuerdo con el reporte generado desde el sistema Ekogui de los procesos judiciales activos con corte a 30 de junio de 2022 (primer semestre de 2022), se observa que veintitrés (23) procesos tenían calificación del riesgo anterior al 31-12-2021 y un (1) proceso con ID EKOGUI No. 2267232 no tenía calificación del riesgo y el cual contaba con contestación de la demanda al corte del semestre. Por lo anterior, se recomienda al usuario con rol abogado actualizar la calificación del riesgo con una periodicidad no superior a seis (6) meses, así como cada vez que se profiera una sentencia judicial, de conformidad con lo dispuesto en el Decreto 1069 de 2015, artículo 2.2.3.4.1.10. “Funciones del apoderado.”, numeral 4. Calificar el riesgo en cada uno de los procesos judiciales a su cargo, con una periodicidad no superior a seis (6) meses, así como cada vez que se profiera una sentencia judicial sobre el mismo, de conformidad con la metodología que determine la Agencia Nacional de Defensa Jurídica del Estado.
4. Provisión contable: De acuerdo con el reporte generado desde el sistema Ekogui de los procesos judiciales activos con corte a 30 de junio de 2022 (primer semestre de 2022), se observa error en el valor de la provisión contable registrado en el sistema para 14 procesos con probabilidad de perder el caso “Media”, en 1 con probabilidad de perder el caso “baja” y en 4 con probabilidad de perder el caso “Remota”, toda vez que, no es igual a cero (0). Al respecto, la Oficina Asesora Jurídica manifestó que: "Se informa que el error es derivado de un inconveniente con la plataforma, al tratar de establecer las provisiones contables, al dejar en 0 los valores, el mismo reporta error y no permite realizar el cargue (...) Sin embargo en miras de poder gestionar de mejor manera y continuar con el debido registro, la OAJ se compromete a realizar la solicitud de cambio con los procesos faltantes.". 
Por lo anterior, se recomienda ajustar en el sistema Ekogui el valor de la provisión contable de los procesos mencionados de conformidad con lo establecido en los literales b) y c) del artículo 7 de la Resolución 353 de 2016 de la ANDJE, así como lo dispuesto en la Resolución No. 0075 de 2017 de la SSF.</v>
      </c>
      <c r="BL3" s="69" t="str">
        <f>+PREJUDICIALES!F17</f>
        <v>1. Se observaron 6 procesos prejudiciales activos registrados antes del 1 de enero de 2022 (ID EKOGUI No.1111277, 1425524, 1480067, 1482024, 1482737 y  1484698), los cuales se encuentran terminados. Al respecto, la Oficina Asesora Jurídica informó que: "Los casos referenciados no fueron cerrados en su momento por el anterior abogado externo de la entidad, por lo que se solicitará a la ANDJE soporte técnico para poder dar por terminados esos casos.".       
2. De acuerdo con la información suministrada por la Oficina Asesora Jurídica, se observa que en el proceso con ID EKOGUI No. 1499922 se celebró audiencia el 18-05-2022 y fue reportado como terminado en el primer semestre de 2022, sin embargo, en el sistema Ekogui se encuentra registrado como activo. 
Por lo anterior, se recomienda al usuario con rol abogado dar terminación oportuna a los mismos, de conformidad con lo establecido en el Decreto 1069 de 2015, artículo 2.2.3.4.1.10. "Funciones del apoderado.", numeral 1 "Registrar y actualizar de manera oportuna en el Sistema Único de Gestión e Información Litigiosa del Estado - eKOGUl, las solicitudes de conciliación extrajudicial, los procesos judiciales, y los trámites arbitrales a su cargo. ".</v>
      </c>
      <c r="BM3" s="69" t="str">
        <f>+ARBITRAMENTOS!C13</f>
        <v>La Oficina Asesora Jurídica informó que: "Durante dicho periodo la entidad NO tenía a cargo procesos arbitrales.", de acuerdo con la consulta realizada en el Sistema Ekogui no se observó 
registro de arbitramentos activos y terminados a 30-06-2022.</v>
      </c>
      <c r="BN3" s="69" t="str">
        <f>+PAGOS!F8</f>
        <v xml:space="preserve">La Oficina Asesora Jurídica informó que durante el primer semestre de 2022: "No se cancelaron sumas por concepto de sentencias, conciliaciones y/o laudos arbitrales.".
</v>
      </c>
      <c r="BO3" s="69" t="str">
        <f>'Resumen General'!B23</f>
        <v>De acuerdo con el resultado de la verificación del primer (I) semestre de 2022, la Oficina Control Interno recomienda lo siguiente: 
1. Programar asistencia a capacitaciones para los usuarios con rol Administrador de la Entidad, Jefe Jurídico, con el propósito de actualizarse en el funcionamiento de la versión 2.0 del sistema eKOGUI en su respectivo rol, y dar cumplimiento a lo dispuesto en el Decreto 1069 de 2015, artículo 2.2.3.4.1.13. "Funciones comunes para los usuarios del Sistema Único de Gestión e Información Litigiosa del Estado - eKOGUI" numeral 1 "Asistir a las jornadas de capacitación sobre el uso y alcance del Sistema Único de Gestión e Información de la Actividad Litigiosa del Estado - eKOGUI, que convoque la Agencia Nacional de Defensa Jurídica del Estado o el administrador de entidad.".
2. Se recomienda al usuario con rol Administrador de la Entidad realizar las activaciones e inactivaciones de los usuarios en el sistema oportunamente, de conformidad con lo establecido en el Decreto 1069 de 2015, artículo 2.2.3.4.1.9. "Funciones del administrador del Sistema en la entidad." numeral 5 "Crear, asignar claves de acceso e inactivar dentro del Sistema Único de Gestión e Información Litigiosa del Estado - eKOGUI, a los usuarios de la entidad de conformidad con los instructivos que la Agencia expida para tal fin.", de presentar incovenientes solicitar soporte ante la ANDJE para dar cumplimiento con lo establecido en la norma, dejar evidencia de las solicitudes realizadas.
3. Se recomienda al usuario con rol abogado actualizar la calificación del riesgo con una periodicidad no superior a seis (6) meses a los procesos judiciales, así como cada vez que se profiera una sentencia judicial, de conformidad con lo dispuesto en el Decreto 1069 de 2015, artículo 2.2.3.4.1.10. “Funciones del apoderado.”, numeral 4. Calificar el riesgo en cada uno de los procesos judiciales a su cargo, con una periodicidad no superior a seis (6) meses, así como cada vez que se profiera una sentencia judicial sobre el mismo, de conformidad con la metodología que determine la Agencia Nacional de Defensa Jurídica del Estado.
4. Ajustar en el sistema Ekogui el valor de la provisión contable de los 20 procesos judiciales que la tienen incorrecta de acuerdo con la probabilidad de perder el caso media, baja y remota es “0”. Lo anterior, de conformidad con lo establecido en los literales b) y c) del artículo 7 de la Resolución 353 de 2016 de la ANDJE, así como lo dispuesto en la Resolución No. 0075 de 2017 de la SSF.
5. Se recomienda al usuario con rol abogado dar terminación oportuna a las conciliaciones prejudiciales en el sistema eKogui, de conformidad con lo establecido en el Decreto 1069 de 2015, artículo 2.2.3.4.1.10. "Funciones del apoderado.", numeral 1 "Registrar y actualizar de manera oportuna en el Sistema Único de Gestión e Información Litigiosa del Estado - eKOGUl, las solicitudes de conciliación extrajudicial, los procesos judiciales, y los trámites arbitrales a su cargo. ".
6. En cuanto a las 6 conciliaciones prejudiciales terminadas que se encuentran registrados como activas, se recomienda adelantar las gestiones necesarias ante el soporte eKOGUI, para depurar el sistema.</v>
      </c>
    </row>
    <row r="12" spans="1:67" x14ac:dyDescent="0.25">
      <c r="A12" s="69" t="s">
        <v>36</v>
      </c>
      <c r="B12" s="69" t="s">
        <v>15</v>
      </c>
      <c r="C12" s="72" t="s">
        <v>16</v>
      </c>
      <c r="D12" s="72" t="s">
        <v>6</v>
      </c>
      <c r="E12" s="72" t="s">
        <v>7</v>
      </c>
      <c r="F12" s="72" t="s">
        <v>17</v>
      </c>
      <c r="G12" s="72" t="s">
        <v>76</v>
      </c>
    </row>
    <row r="13" spans="1:67" x14ac:dyDescent="0.25">
      <c r="A13" s="69" t="str">
        <f t="shared" ref="A13:A18" si="0">$A$3</f>
        <v>SUPERINTENDENCIA DEL SUBSIDIO FAMILIAR</v>
      </c>
      <c r="B13" s="69" t="s">
        <v>0</v>
      </c>
      <c r="C13" s="69" t="str">
        <f>USUARIOS!C12</f>
        <v>Si</v>
      </c>
      <c r="D13" s="71">
        <f>USUARIOS!D12</f>
        <v>44628</v>
      </c>
      <c r="E13" s="69" t="str">
        <f>USUARIOS!E12</f>
        <v>CARLOS ARTURO GAVIRIA VEGA</v>
      </c>
      <c r="F13" s="71">
        <f>USUARIOS!F12</f>
        <v>44687</v>
      </c>
      <c r="G13" s="69" t="str">
        <f>USUARIOS!G12</f>
        <v/>
      </c>
    </row>
    <row r="14" spans="1:67" x14ac:dyDescent="0.25">
      <c r="A14" s="69" t="str">
        <f t="shared" si="0"/>
        <v>SUPERINTENDENCIA DEL SUBSIDIO FAMILIAR</v>
      </c>
      <c r="B14" s="69" t="s">
        <v>1</v>
      </c>
      <c r="C14" s="69" t="str">
        <f>USUARIOS!C13</f>
        <v>Si</v>
      </c>
      <c r="D14" s="71">
        <f>USUARIOS!D13</f>
        <v>44252</v>
      </c>
      <c r="E14" s="69" t="str">
        <f>USUARIOS!E13</f>
        <v>RAUL FERNANDO NUÑEZ MARIN</v>
      </c>
      <c r="F14" s="71">
        <f>USUARIOS!F13</f>
        <v>0</v>
      </c>
      <c r="G14" s="69" t="str">
        <f>USUARIOS!G13</f>
        <v>DESACTUALIZADO</v>
      </c>
    </row>
    <row r="15" spans="1:67" x14ac:dyDescent="0.25">
      <c r="A15" s="69" t="str">
        <f t="shared" si="0"/>
        <v>SUPERINTENDENCIA DEL SUBSIDIO FAMILIAR</v>
      </c>
      <c r="B15" s="69" t="s">
        <v>2</v>
      </c>
      <c r="C15" s="69" t="str">
        <f>USUARIOS!C14</f>
        <v>Si</v>
      </c>
      <c r="D15" s="71">
        <f>USUARIOS!D14</f>
        <v>44628</v>
      </c>
      <c r="E15" s="69" t="str">
        <f>USUARIOS!E14</f>
        <v>LUZ NEIDA HERNANDEZ GARCIA</v>
      </c>
      <c r="F15" s="71">
        <f>USUARIOS!F14</f>
        <v>44712</v>
      </c>
      <c r="G15" s="69" t="str">
        <f>USUARIOS!G14</f>
        <v/>
      </c>
    </row>
    <row r="16" spans="1:67" x14ac:dyDescent="0.25">
      <c r="A16" s="69" t="str">
        <f t="shared" si="0"/>
        <v>SUPERINTENDENCIA DEL SUBSIDIO FAMILIAR</v>
      </c>
      <c r="B16" s="69" t="s">
        <v>3</v>
      </c>
      <c r="C16" s="69" t="str">
        <f>USUARIOS!C15</f>
        <v>Si</v>
      </c>
      <c r="D16" s="71">
        <f>USUARIOS!D15</f>
        <v>43663</v>
      </c>
      <c r="E16" s="69" t="str">
        <f>USUARIOS!E15</f>
        <v>JOSE WILLIAM CASALLAS FANDIÑO</v>
      </c>
      <c r="F16" s="71">
        <f>USUARIOS!F15</f>
        <v>44601</v>
      </c>
      <c r="G16" s="69" t="str">
        <f>USUARIOS!G15</f>
        <v/>
      </c>
    </row>
    <row r="17" spans="1:7" x14ac:dyDescent="0.25">
      <c r="A17" s="69" t="str">
        <f t="shared" si="0"/>
        <v>SUPERINTENDENCIA DEL SUBSIDIO FAMILIAR</v>
      </c>
      <c r="B17" s="69" t="s">
        <v>4</v>
      </c>
      <c r="C17" s="69" t="str">
        <f>USUARIOS!C16</f>
        <v>Si</v>
      </c>
      <c r="D17" s="71">
        <f>USUARIOS!D16</f>
        <v>43706</v>
      </c>
      <c r="E17" s="69" t="str">
        <f>USUARIOS!E16</f>
        <v>JUAN CARLOS GOZALEZ SUAREZ</v>
      </c>
      <c r="F17" s="71">
        <f>USUARIOS!F16</f>
        <v>44629</v>
      </c>
      <c r="G17" s="69" t="str">
        <f>USUARIOS!G16</f>
        <v/>
      </c>
    </row>
    <row r="18" spans="1:7" x14ac:dyDescent="0.25">
      <c r="A18" s="69" t="str">
        <f t="shared" si="0"/>
        <v>SUPERINTENDENCIA DEL SUBSIDIO FAMILIAR</v>
      </c>
      <c r="B18" s="69" t="s">
        <v>5</v>
      </c>
      <c r="C18" s="69" t="str">
        <f>USUARIOS!C17</f>
        <v>Si</v>
      </c>
      <c r="D18" s="71">
        <f>USUARIOS!D17</f>
        <v>44491</v>
      </c>
      <c r="E18" s="69" t="str">
        <f>USUARIOS!E17</f>
        <v>RAUL FERNANDO NUÑEZ MARIN</v>
      </c>
      <c r="F18" s="71">
        <f>USUARIOS!F17</f>
        <v>0</v>
      </c>
      <c r="G18" s="69" t="str">
        <f>USUARIOS!G17</f>
        <v>DESACTUALIZADO</v>
      </c>
    </row>
  </sheetData>
  <sheetProtection algorithmName="SHA-512" hashValue="OkHp+4/XyQ417CCrePCpuKk2J4yoW2NaRqgvmIK3t20ri1bTnLcw34YVhufy/GP0yo2lXzq+J5H4Wh5cptbQxg==" saltValue="CCA9SvlNPlPw9E6zyIvQQw==" spinCount="100000" sheet="1" objects="1" scenarios="1"/>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Principal</vt:lpstr>
      <vt:lpstr>USUARIOS</vt:lpstr>
      <vt:lpstr>ABOGADOS</vt:lpstr>
      <vt:lpstr>JUDICIALES</vt:lpstr>
      <vt:lpstr>PREJUDICIALES</vt:lpstr>
      <vt:lpstr>ARBITRAMENTOS</vt:lpstr>
      <vt:lpstr>PAGOS</vt:lpstr>
      <vt:lpstr>Resumen General</vt:lpstr>
      <vt:lpstr>Base a pegar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Pablo Garzón Peraza</dc:creator>
  <cp:lastModifiedBy>Subdirección de Control Interno</cp:lastModifiedBy>
  <dcterms:created xsi:type="dcterms:W3CDTF">2020-06-25T21:16:25Z</dcterms:created>
  <dcterms:modified xsi:type="dcterms:W3CDTF">2022-09-08T15:00:57Z</dcterms:modified>
</cp:coreProperties>
</file>