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mc:AlternateContent xmlns:mc="http://schemas.openxmlformats.org/markup-compatibility/2006">
    <mc:Choice Requires="x15">
      <x15ac:absPath xmlns:x15ac="http://schemas.microsoft.com/office/spreadsheetml/2010/11/ac" url="C:\Users\ogalvans\Documents\ISOLUCION\GLIP\"/>
    </mc:Choice>
  </mc:AlternateContent>
  <xr:revisionPtr revIDLastSave="0" documentId="13_ncr:1_{CA726F03-8784-4A75-BF27-B8852D2871D5}" xr6:coauthVersionLast="36" xr6:coauthVersionMax="47" xr10:uidLastSave="{00000000-0000-0000-0000-000000000000}"/>
  <bookViews>
    <workbookView xWindow="0" yWindow="0" windowWidth="28800" windowHeight="12225" activeTab="1" xr2:uid="{00000000-000D-0000-FFFF-FFFF00000000}"/>
  </bookViews>
  <sheets>
    <sheet name="Intructivo" sheetId="1" r:id="rId1"/>
    <sheet name="Mapa final" sheetId="2" r:id="rId2"/>
    <sheet name="Opciones Tratamiento" sheetId="8" r:id="rId3"/>
    <sheet name="Matriz Calor Inherente" sheetId="3" r:id="rId4"/>
    <sheet name="Matriz Calor Residual" sheetId="4" r:id="rId5"/>
    <sheet name="Tabla probabilidad" sheetId="5" r:id="rId6"/>
    <sheet name="Tabla Impacto" sheetId="6" r:id="rId7"/>
    <sheet name="Tabla Valoración controles" sheetId="7" r:id="rId8"/>
    <sheet name="Hoja1" sheetId="9" r:id="rId9"/>
  </sheets>
  <externalReferences>
    <externalReference r:id="rId10"/>
  </externalReferences>
  <definedNames>
    <definedName name="De_corrupción">'Opciones Tratamiento'!$I$3</definedName>
    <definedName name="De_gestión">'Opciones Tratamiento'!$I$2</definedName>
    <definedName name="De_seguridad_de_la_información">'Opciones Tratamiento'!$I$4:$I$14</definedName>
  </definedNames>
  <calcPr calcId="191029"/>
  <extLst>
    <ext uri="GoogleSheetsCustomDataVersion1">
      <go:sheetsCustomData xmlns:go="http://customooxmlschemas.google.com/" r:id="rId13" roundtripDataSignature="AMtx7mixqwPtEhObUuHcyVNHEb4MhbHD2A=="/>
    </ext>
  </extLst>
</workbook>
</file>

<file path=xl/calcChain.xml><?xml version="1.0" encoding="utf-8"?>
<calcChain xmlns="http://schemas.openxmlformats.org/spreadsheetml/2006/main">
  <c r="AT119" i="2" l="1"/>
  <c r="AQ119" i="2"/>
  <c r="AO119" i="2"/>
  <c r="AN119" i="2"/>
  <c r="AT118" i="2"/>
  <c r="AQ118" i="2"/>
  <c r="AO118" i="2"/>
  <c r="AN118" i="2"/>
  <c r="AT117" i="2"/>
  <c r="AQ117" i="2"/>
  <c r="AO117" i="2"/>
  <c r="AN117" i="2"/>
  <c r="L117" i="2"/>
  <c r="M117" i="2" s="1"/>
  <c r="H117" i="2"/>
  <c r="AT116" i="2"/>
  <c r="AQ116" i="2"/>
  <c r="AO116" i="2"/>
  <c r="AN116" i="2"/>
  <c r="AT115" i="2"/>
  <c r="AQ115" i="2"/>
  <c r="AO115" i="2"/>
  <c r="AN115" i="2"/>
  <c r="AT114" i="2"/>
  <c r="AQ114" i="2"/>
  <c r="AO114" i="2"/>
  <c r="AN114" i="2"/>
  <c r="L114" i="2"/>
  <c r="M114" i="2" s="1"/>
  <c r="H114" i="2"/>
  <c r="AT113" i="2"/>
  <c r="AQ113" i="2"/>
  <c r="AO113" i="2"/>
  <c r="AN113" i="2"/>
  <c r="AT112" i="2"/>
  <c r="AQ112" i="2"/>
  <c r="AO112" i="2"/>
  <c r="AN112" i="2"/>
  <c r="L112" i="2"/>
  <c r="M112" i="2" s="1"/>
  <c r="H112" i="2"/>
  <c r="AT111" i="2"/>
  <c r="AQ111" i="2"/>
  <c r="AO111" i="2"/>
  <c r="AN111" i="2"/>
  <c r="AT110" i="2"/>
  <c r="AQ110" i="2"/>
  <c r="AO110" i="2"/>
  <c r="AN110" i="2"/>
  <c r="L110" i="2"/>
  <c r="M110" i="2" s="1"/>
  <c r="H110" i="2"/>
  <c r="AX112" i="2" l="1"/>
  <c r="AZ112" i="2" s="1"/>
  <c r="AX113" i="2" s="1"/>
  <c r="AY113" i="2" s="1"/>
  <c r="AX110" i="2"/>
  <c r="AZ110" i="2" s="1"/>
  <c r="AX111" i="2" s="1"/>
  <c r="AX114" i="2"/>
  <c r="AZ114" i="2" s="1"/>
  <c r="AX115" i="2" s="1"/>
  <c r="AX117" i="2"/>
  <c r="AY112" i="2" l="1"/>
  <c r="AY110" i="2"/>
  <c r="AY114" i="2"/>
  <c r="AZ117" i="2"/>
  <c r="AX118" i="2" s="1"/>
  <c r="AY118" i="2" s="1"/>
  <c r="AY117" i="2"/>
  <c r="AZ113" i="2"/>
  <c r="AZ115" i="2"/>
  <c r="AX116" i="2" s="1"/>
  <c r="AZ116" i="2" s="1"/>
  <c r="AY115" i="2"/>
  <c r="AZ111" i="2"/>
  <c r="AY111" i="2"/>
  <c r="AZ118" i="2" l="1"/>
  <c r="AX119" i="2" s="1"/>
  <c r="AY116" i="2"/>
  <c r="AQ95" i="2"/>
  <c r="AY119" i="2" l="1"/>
  <c r="AZ119" i="2"/>
  <c r="H74" i="2"/>
  <c r="AT109" i="2" l="1"/>
  <c r="AQ109" i="2"/>
  <c r="AO109" i="2"/>
  <c r="AN109" i="2"/>
  <c r="AT108" i="2"/>
  <c r="AQ108" i="2"/>
  <c r="AO108" i="2"/>
  <c r="AN108" i="2"/>
  <c r="AT107" i="2"/>
  <c r="AQ107" i="2"/>
  <c r="AO107" i="2"/>
  <c r="AN107" i="2"/>
  <c r="L107" i="2"/>
  <c r="M107" i="2" s="1"/>
  <c r="H107" i="2"/>
  <c r="AT106" i="2"/>
  <c r="AQ106" i="2"/>
  <c r="AO106" i="2"/>
  <c r="AN106" i="2"/>
  <c r="AT105" i="2"/>
  <c r="AQ105" i="2"/>
  <c r="AO105" i="2"/>
  <c r="AN105" i="2"/>
  <c r="AT104" i="2"/>
  <c r="AQ104" i="2"/>
  <c r="AO104" i="2"/>
  <c r="AN104" i="2"/>
  <c r="AT103" i="2"/>
  <c r="AQ103" i="2"/>
  <c r="AO103" i="2"/>
  <c r="AN103" i="2"/>
  <c r="L103" i="2"/>
  <c r="H103" i="2"/>
  <c r="AT102" i="2"/>
  <c r="AQ102" i="2"/>
  <c r="AO102" i="2"/>
  <c r="AN102" i="2"/>
  <c r="AT101" i="2"/>
  <c r="AQ101" i="2"/>
  <c r="AO101" i="2"/>
  <c r="AN101" i="2"/>
  <c r="AT100" i="2"/>
  <c r="AQ100" i="2"/>
  <c r="AO100" i="2"/>
  <c r="AN100" i="2"/>
  <c r="L100" i="2"/>
  <c r="M100" i="2" s="1"/>
  <c r="H100" i="2"/>
  <c r="AT99" i="2"/>
  <c r="AQ99" i="2"/>
  <c r="AO99" i="2"/>
  <c r="AN99" i="2"/>
  <c r="AT98" i="2"/>
  <c r="AQ98" i="2"/>
  <c r="AO98" i="2"/>
  <c r="AN98" i="2"/>
  <c r="L98" i="2"/>
  <c r="M98" i="2" s="1"/>
  <c r="H98" i="2"/>
  <c r="AT97" i="2"/>
  <c r="AQ97" i="2"/>
  <c r="AO97" i="2"/>
  <c r="AN97" i="2"/>
  <c r="AT96" i="2"/>
  <c r="AQ96" i="2"/>
  <c r="AO96" i="2"/>
  <c r="AN96" i="2"/>
  <c r="AT95" i="2"/>
  <c r="AO95" i="2"/>
  <c r="AN95" i="2"/>
  <c r="AT94" i="2"/>
  <c r="AQ94" i="2"/>
  <c r="AO94" i="2"/>
  <c r="AN94" i="2"/>
  <c r="AT93" i="2"/>
  <c r="AQ93" i="2"/>
  <c r="AO93" i="2"/>
  <c r="AN93" i="2"/>
  <c r="AT92" i="2"/>
  <c r="AQ92" i="2"/>
  <c r="AO92" i="2"/>
  <c r="AN92" i="2"/>
  <c r="L92" i="2"/>
  <c r="M92" i="2" s="1"/>
  <c r="H92" i="2"/>
  <c r="AT91" i="2"/>
  <c r="AQ91" i="2"/>
  <c r="AO91" i="2"/>
  <c r="AN91" i="2"/>
  <c r="AT90" i="2"/>
  <c r="AQ90" i="2"/>
  <c r="AO90" i="2"/>
  <c r="AN90" i="2"/>
  <c r="AT89" i="2"/>
  <c r="AQ89" i="2"/>
  <c r="AO89" i="2"/>
  <c r="AN89" i="2"/>
  <c r="L89" i="2"/>
  <c r="M89" i="2" s="1"/>
  <c r="H89" i="2"/>
  <c r="AT88" i="2"/>
  <c r="AQ88" i="2"/>
  <c r="AO88" i="2"/>
  <c r="AN88" i="2"/>
  <c r="AT87" i="2"/>
  <c r="AQ87" i="2"/>
  <c r="AO87" i="2"/>
  <c r="AN87" i="2"/>
  <c r="AT86" i="2"/>
  <c r="AQ86" i="2"/>
  <c r="AO86" i="2"/>
  <c r="AN86" i="2"/>
  <c r="L86" i="2"/>
  <c r="M86" i="2" s="1"/>
  <c r="H86" i="2"/>
  <c r="AT85" i="2"/>
  <c r="AQ85" i="2"/>
  <c r="AO85" i="2"/>
  <c r="AN85" i="2"/>
  <c r="AT84" i="2"/>
  <c r="AQ84" i="2"/>
  <c r="AO84" i="2"/>
  <c r="AN84" i="2"/>
  <c r="L84" i="2"/>
  <c r="M84" i="2" s="1"/>
  <c r="H84" i="2"/>
  <c r="AT83" i="2"/>
  <c r="AQ83" i="2"/>
  <c r="AO83" i="2"/>
  <c r="AN83" i="2"/>
  <c r="L83" i="2"/>
  <c r="M83" i="2" s="1"/>
  <c r="H83" i="2"/>
  <c r="AT82" i="2"/>
  <c r="AQ82" i="2"/>
  <c r="AO82" i="2"/>
  <c r="AN82" i="2"/>
  <c r="L82" i="2"/>
  <c r="M82" i="2" s="1"/>
  <c r="H82" i="2"/>
  <c r="AT81" i="2"/>
  <c r="AQ81" i="2"/>
  <c r="AO81" i="2"/>
  <c r="AN81" i="2"/>
  <c r="AT80" i="2"/>
  <c r="AQ80" i="2"/>
  <c r="AO80" i="2"/>
  <c r="AN80" i="2"/>
  <c r="AT79" i="2"/>
  <c r="AQ79" i="2"/>
  <c r="AO79" i="2"/>
  <c r="AN79" i="2"/>
  <c r="L79" i="2"/>
  <c r="M79" i="2" s="1"/>
  <c r="H79" i="2"/>
  <c r="AT78" i="2"/>
  <c r="AQ78" i="2"/>
  <c r="AO78" i="2"/>
  <c r="AN78" i="2"/>
  <c r="L78" i="2"/>
  <c r="M78" i="2" s="1"/>
  <c r="H78" i="2"/>
  <c r="AT77" i="2"/>
  <c r="AQ77" i="2"/>
  <c r="AO77" i="2"/>
  <c r="AN77" i="2"/>
  <c r="AT76" i="2"/>
  <c r="AQ76" i="2"/>
  <c r="AO76" i="2"/>
  <c r="AN76" i="2"/>
  <c r="AT75" i="2"/>
  <c r="AQ75" i="2"/>
  <c r="AO75" i="2"/>
  <c r="AN75" i="2"/>
  <c r="L75" i="2"/>
  <c r="M75" i="2" s="1"/>
  <c r="H75" i="2"/>
  <c r="AT74" i="2"/>
  <c r="AQ74" i="2"/>
  <c r="AO74" i="2"/>
  <c r="AN74" i="2"/>
  <c r="L74" i="2"/>
  <c r="M74" i="2" s="1"/>
  <c r="AT73" i="2"/>
  <c r="AQ73" i="2"/>
  <c r="AO73" i="2"/>
  <c r="AN73" i="2"/>
  <c r="L73" i="2"/>
  <c r="H73" i="2"/>
  <c r="AT72" i="2"/>
  <c r="AQ72" i="2"/>
  <c r="AO72" i="2"/>
  <c r="AN72" i="2"/>
  <c r="AT71" i="2"/>
  <c r="AQ71" i="2"/>
  <c r="AO71" i="2"/>
  <c r="AN71" i="2"/>
  <c r="L71" i="2"/>
  <c r="M71" i="2" s="1"/>
  <c r="H71" i="2"/>
  <c r="AT70" i="2"/>
  <c r="AQ70" i="2"/>
  <c r="AO70" i="2"/>
  <c r="AN70" i="2"/>
  <c r="AT69" i="2"/>
  <c r="AQ69" i="2"/>
  <c r="AO69" i="2"/>
  <c r="AN69" i="2"/>
  <c r="L69" i="2"/>
  <c r="M69" i="2" s="1"/>
  <c r="H69" i="2"/>
  <c r="AT68" i="2"/>
  <c r="AQ68" i="2"/>
  <c r="AO68" i="2"/>
  <c r="AN68" i="2"/>
  <c r="AT67" i="2"/>
  <c r="AQ67" i="2"/>
  <c r="AO67" i="2"/>
  <c r="AN67" i="2"/>
  <c r="AT66" i="2"/>
  <c r="AQ66" i="2"/>
  <c r="AO66" i="2"/>
  <c r="AN66" i="2"/>
  <c r="AT65" i="2"/>
  <c r="AQ65" i="2"/>
  <c r="AO65" i="2"/>
  <c r="AN65" i="2"/>
  <c r="AT64" i="2"/>
  <c r="AQ64" i="2"/>
  <c r="AO64" i="2"/>
  <c r="AN64" i="2"/>
  <c r="L64" i="2"/>
  <c r="M64" i="2" s="1"/>
  <c r="H64" i="2"/>
  <c r="AX107" i="2" l="1"/>
  <c r="AZ107" i="2" s="1"/>
  <c r="M103" i="2"/>
  <c r="AK103" i="2"/>
  <c r="AX103" i="2"/>
  <c r="AZ103" i="2" s="1"/>
  <c r="AX104" i="2" s="1"/>
  <c r="AY104" i="2" s="1"/>
  <c r="AX100" i="2"/>
  <c r="AZ100" i="2" s="1"/>
  <c r="AX101" i="2" s="1"/>
  <c r="AZ101" i="2" s="1"/>
  <c r="AX102" i="2" s="1"/>
  <c r="AX84" i="2"/>
  <c r="AY84" i="2" s="1"/>
  <c r="AX83" i="2"/>
  <c r="AZ83" i="2" s="1"/>
  <c r="AX74" i="2"/>
  <c r="AZ74" i="2" s="1"/>
  <c r="AX108" i="2"/>
  <c r="AZ108" i="2" s="1"/>
  <c r="AX109" i="2" s="1"/>
  <c r="AX64" i="2"/>
  <c r="AZ64" i="2" s="1"/>
  <c r="AX65" i="2" s="1"/>
  <c r="AY107" i="2"/>
  <c r="AJ103" i="2"/>
  <c r="BB103" i="2" s="1"/>
  <c r="BA103" i="2" s="1"/>
  <c r="AX98" i="2"/>
  <c r="AZ98" i="2" s="1"/>
  <c r="AX99" i="2" s="1"/>
  <c r="AZ99" i="2" s="1"/>
  <c r="AY100" i="2"/>
  <c r="AX92" i="2"/>
  <c r="AZ92" i="2" s="1"/>
  <c r="AX93" i="2" s="1"/>
  <c r="AX89" i="2"/>
  <c r="AY89" i="2" s="1"/>
  <c r="AX86" i="2"/>
  <c r="AZ86" i="2" s="1"/>
  <c r="AX87" i="2" s="1"/>
  <c r="AX82" i="2"/>
  <c r="AY82" i="2" s="1"/>
  <c r="AX79" i="2"/>
  <c r="AZ79" i="2" s="1"/>
  <c r="AX80" i="2" s="1"/>
  <c r="AZ80" i="2" s="1"/>
  <c r="AX81" i="2" s="1"/>
  <c r="AX78" i="2"/>
  <c r="AY78" i="2" s="1"/>
  <c r="AX75" i="2"/>
  <c r="AZ75" i="2" s="1"/>
  <c r="AX76" i="2" s="1"/>
  <c r="AX69" i="2"/>
  <c r="AY69" i="2" s="1"/>
  <c r="M73" i="2"/>
  <c r="AX73" i="2" s="1"/>
  <c r="AX71" i="2"/>
  <c r="AZ84" i="2" l="1"/>
  <c r="AX85" i="2" s="1"/>
  <c r="AZ85" i="2" s="1"/>
  <c r="BB108" i="2"/>
  <c r="BA108" i="2" s="1"/>
  <c r="AY74" i="2"/>
  <c r="AY103" i="2"/>
  <c r="BC103" i="2" s="1"/>
  <c r="AY108" i="2"/>
  <c r="BC108" i="2" s="1"/>
  <c r="AY83" i="2"/>
  <c r="AZ104" i="2"/>
  <c r="AX105" i="2" s="1"/>
  <c r="AZ105" i="2" s="1"/>
  <c r="AX106" i="2" s="1"/>
  <c r="AY64" i="2"/>
  <c r="AY101" i="2"/>
  <c r="AY99" i="2"/>
  <c r="AY98" i="2"/>
  <c r="AZ109" i="2"/>
  <c r="AY109" i="2"/>
  <c r="AY85" i="2"/>
  <c r="AY92" i="2"/>
  <c r="AZ102" i="2"/>
  <c r="AY102" i="2"/>
  <c r="AZ89" i="2"/>
  <c r="AY86" i="2"/>
  <c r="AZ93" i="2"/>
  <c r="AX94" i="2" s="1"/>
  <c r="AZ94" i="2" s="1"/>
  <c r="AX95" i="2" s="1"/>
  <c r="AY95" i="2" s="1"/>
  <c r="AY93" i="2"/>
  <c r="AZ87" i="2"/>
  <c r="AX88" i="2" s="1"/>
  <c r="AZ88" i="2" s="1"/>
  <c r="AY87" i="2"/>
  <c r="AY80" i="2"/>
  <c r="AZ82" i="2"/>
  <c r="AZ78" i="2"/>
  <c r="AY79" i="2"/>
  <c r="AZ81" i="2"/>
  <c r="AY81" i="2"/>
  <c r="AZ69" i="2"/>
  <c r="AX70" i="2" s="1"/>
  <c r="AZ70" i="2" s="1"/>
  <c r="AY75" i="2"/>
  <c r="AY76" i="2"/>
  <c r="AZ76" i="2"/>
  <c r="AX77" i="2" s="1"/>
  <c r="AY77" i="2" s="1"/>
  <c r="AZ73" i="2"/>
  <c r="AY73" i="2"/>
  <c r="AZ71" i="2"/>
  <c r="AX72" i="2" s="1"/>
  <c r="AZ72" i="2" s="1"/>
  <c r="AY71" i="2"/>
  <c r="AY65" i="2"/>
  <c r="AZ65" i="2"/>
  <c r="AX66" i="2" s="1"/>
  <c r="AZ66" i="2" s="1"/>
  <c r="AX67" i="2" s="1"/>
  <c r="AZ67" i="2" s="1"/>
  <c r="AX68" i="2" s="1"/>
  <c r="AZ106" i="2" l="1"/>
  <c r="AY106" i="2"/>
  <c r="AY105" i="2"/>
  <c r="AZ95" i="2"/>
  <c r="AX96" i="2" s="1"/>
  <c r="AY94" i="2"/>
  <c r="AX90" i="2"/>
  <c r="AY88" i="2"/>
  <c r="AZ77" i="2"/>
  <c r="AY72" i="2"/>
  <c r="AY70" i="2"/>
  <c r="AZ68" i="2"/>
  <c r="AY68" i="2"/>
  <c r="AY66" i="2"/>
  <c r="AY67" i="2"/>
  <c r="AT63" i="2"/>
  <c r="AQ63" i="2"/>
  <c r="AO63" i="2"/>
  <c r="AN63" i="2"/>
  <c r="AT62" i="2"/>
  <c r="AQ62" i="2"/>
  <c r="AO62" i="2"/>
  <c r="AN62" i="2"/>
  <c r="AT61" i="2"/>
  <c r="AQ61" i="2"/>
  <c r="AO61" i="2"/>
  <c r="AN61" i="2"/>
  <c r="AT60" i="2"/>
  <c r="AQ60" i="2"/>
  <c r="AO60" i="2"/>
  <c r="AN60" i="2"/>
  <c r="L60" i="2"/>
  <c r="M60" i="2" s="1"/>
  <c r="H60" i="2"/>
  <c r="AT59" i="2"/>
  <c r="AQ59" i="2"/>
  <c r="AO59" i="2"/>
  <c r="AN59" i="2"/>
  <c r="AT58" i="2"/>
  <c r="AQ58" i="2"/>
  <c r="AO58" i="2"/>
  <c r="AN58" i="2"/>
  <c r="L58" i="2"/>
  <c r="M58" i="2" s="1"/>
  <c r="H58" i="2"/>
  <c r="AT57" i="2"/>
  <c r="AQ57" i="2"/>
  <c r="AO57" i="2"/>
  <c r="AN57" i="2"/>
  <c r="AT56" i="2"/>
  <c r="AQ56" i="2"/>
  <c r="AO56" i="2"/>
  <c r="AN56" i="2"/>
  <c r="AT55" i="2"/>
  <c r="AQ55" i="2"/>
  <c r="AO55" i="2"/>
  <c r="AN55" i="2"/>
  <c r="L55" i="2"/>
  <c r="M55" i="2" s="1"/>
  <c r="H55" i="2"/>
  <c r="AT54" i="2"/>
  <c r="AQ54" i="2"/>
  <c r="AO54" i="2"/>
  <c r="AN54" i="2"/>
  <c r="AT53" i="2"/>
  <c r="AQ53" i="2"/>
  <c r="AO53" i="2"/>
  <c r="AN53" i="2"/>
  <c r="L53" i="2"/>
  <c r="M53" i="2" s="1"/>
  <c r="H53" i="2"/>
  <c r="AT52" i="2"/>
  <c r="AQ52" i="2"/>
  <c r="AO52" i="2"/>
  <c r="AN52" i="2"/>
  <c r="AT51" i="2"/>
  <c r="AQ51" i="2"/>
  <c r="AO51" i="2"/>
  <c r="AN51" i="2"/>
  <c r="AT50" i="2"/>
  <c r="AQ50" i="2"/>
  <c r="AO50" i="2"/>
  <c r="AN50" i="2"/>
  <c r="AT49" i="2"/>
  <c r="AQ49" i="2"/>
  <c r="AO49" i="2"/>
  <c r="AN49" i="2"/>
  <c r="L49" i="2"/>
  <c r="H49" i="2"/>
  <c r="AT48" i="2"/>
  <c r="AQ48" i="2"/>
  <c r="AO48" i="2"/>
  <c r="AN48" i="2"/>
  <c r="AT47" i="2"/>
  <c r="AQ47" i="2"/>
  <c r="AO47" i="2"/>
  <c r="AN47" i="2"/>
  <c r="AT46" i="2"/>
  <c r="AQ46" i="2"/>
  <c r="AO46" i="2"/>
  <c r="AN46" i="2"/>
  <c r="L46" i="2"/>
  <c r="M46" i="2" s="1"/>
  <c r="H46" i="2"/>
  <c r="AT45" i="2"/>
  <c r="AQ45" i="2"/>
  <c r="AO45" i="2"/>
  <c r="AN45" i="2"/>
  <c r="AT44" i="2"/>
  <c r="AQ44" i="2"/>
  <c r="AO44" i="2"/>
  <c r="AN44" i="2"/>
  <c r="AT43" i="2"/>
  <c r="AQ43" i="2"/>
  <c r="AO43" i="2"/>
  <c r="AN43" i="2"/>
  <c r="L43" i="2"/>
  <c r="H43" i="2"/>
  <c r="G32" i="2"/>
  <c r="AZ96" i="2" l="1"/>
  <c r="AX97" i="2" s="1"/>
  <c r="AY96" i="2"/>
  <c r="AZ90" i="2"/>
  <c r="AX91" i="2" s="1"/>
  <c r="AZ91" i="2" s="1"/>
  <c r="AY90" i="2"/>
  <c r="AX58" i="2"/>
  <c r="AZ58" i="2" s="1"/>
  <c r="AX59" i="2" s="1"/>
  <c r="AX55" i="2"/>
  <c r="AZ55" i="2" s="1"/>
  <c r="AX56" i="2" s="1"/>
  <c r="AX46" i="2"/>
  <c r="AY46" i="2" s="1"/>
  <c r="AX60" i="2"/>
  <c r="AX53" i="2"/>
  <c r="M49" i="2"/>
  <c r="AX49" i="2" s="1"/>
  <c r="AZ49" i="2" s="1"/>
  <c r="AX50" i="2" s="1"/>
  <c r="M43" i="2"/>
  <c r="AX43" i="2" s="1"/>
  <c r="AY97" i="2" l="1"/>
  <c r="AZ97" i="2"/>
  <c r="AY91" i="2"/>
  <c r="AY58" i="2"/>
  <c r="AY55" i="2"/>
  <c r="AZ46" i="2"/>
  <c r="AX47" i="2" s="1"/>
  <c r="AY47" i="2" s="1"/>
  <c r="AY60" i="2"/>
  <c r="AZ60" i="2"/>
  <c r="AX61" i="2" s="1"/>
  <c r="AZ61" i="2" s="1"/>
  <c r="AX62" i="2" s="1"/>
  <c r="AZ62" i="2" s="1"/>
  <c r="AX63" i="2" s="1"/>
  <c r="AZ59" i="2"/>
  <c r="AY59" i="2"/>
  <c r="AY53" i="2"/>
  <c r="AZ53" i="2"/>
  <c r="AX54" i="2" s="1"/>
  <c r="AZ54" i="2" s="1"/>
  <c r="AZ56" i="2"/>
  <c r="AX57" i="2" s="1"/>
  <c r="AZ57" i="2" s="1"/>
  <c r="AY56" i="2"/>
  <c r="AY49" i="2"/>
  <c r="AZ50" i="2"/>
  <c r="AX51" i="2" s="1"/>
  <c r="AZ51" i="2" s="1"/>
  <c r="AX52" i="2" s="1"/>
  <c r="AY52" i="2" s="1"/>
  <c r="AY50" i="2"/>
  <c r="AZ43" i="2"/>
  <c r="AX44" i="2" s="1"/>
  <c r="AZ44" i="2" s="1"/>
  <c r="AX45" i="2" s="1"/>
  <c r="AY43" i="2"/>
  <c r="AY63" i="2" l="1"/>
  <c r="AZ63" i="2"/>
  <c r="AY62" i="2"/>
  <c r="AY61" i="2"/>
  <c r="AY57" i="2"/>
  <c r="AY54" i="2"/>
  <c r="AY51" i="2"/>
  <c r="AZ52" i="2"/>
  <c r="AZ47" i="2"/>
  <c r="AX48" i="2" s="1"/>
  <c r="AY45" i="2"/>
  <c r="AZ45" i="2"/>
  <c r="AY44" i="2"/>
  <c r="AT42" i="2"/>
  <c r="AQ42" i="2"/>
  <c r="AO42" i="2"/>
  <c r="AN42" i="2"/>
  <c r="AT41" i="2"/>
  <c r="AQ41" i="2"/>
  <c r="AO41" i="2"/>
  <c r="AN41" i="2"/>
  <c r="L41" i="2"/>
  <c r="M41" i="2" s="1"/>
  <c r="H41" i="2"/>
  <c r="AT40" i="2"/>
  <c r="AQ40" i="2"/>
  <c r="AO40" i="2"/>
  <c r="AN40" i="2"/>
  <c r="AT39" i="2"/>
  <c r="AQ39" i="2"/>
  <c r="AO39" i="2"/>
  <c r="AN39" i="2"/>
  <c r="L39" i="2"/>
  <c r="H39" i="2"/>
  <c r="AT38" i="2"/>
  <c r="AQ38" i="2"/>
  <c r="AO38" i="2"/>
  <c r="AN38" i="2"/>
  <c r="AT37" i="2"/>
  <c r="AQ37" i="2"/>
  <c r="AO37" i="2"/>
  <c r="AN37" i="2"/>
  <c r="AT36" i="2"/>
  <c r="AQ36" i="2"/>
  <c r="AO36" i="2"/>
  <c r="AN36" i="2"/>
  <c r="L36" i="2"/>
  <c r="M36" i="2" s="1"/>
  <c r="H36" i="2"/>
  <c r="AT35" i="2"/>
  <c r="AQ35" i="2"/>
  <c r="AO35" i="2"/>
  <c r="AN35" i="2"/>
  <c r="AT34" i="2"/>
  <c r="AQ34" i="2"/>
  <c r="AO34" i="2"/>
  <c r="AN34" i="2"/>
  <c r="AT33" i="2"/>
  <c r="AQ33" i="2"/>
  <c r="AO33" i="2"/>
  <c r="AN33" i="2"/>
  <c r="AT32" i="2"/>
  <c r="AQ32" i="2"/>
  <c r="AO32" i="2"/>
  <c r="AN32" i="2"/>
  <c r="L32" i="2"/>
  <c r="H32" i="2"/>
  <c r="AT31" i="2"/>
  <c r="AQ31" i="2"/>
  <c r="AO31" i="2"/>
  <c r="AN31" i="2"/>
  <c r="AT30" i="2"/>
  <c r="AQ30" i="2"/>
  <c r="AO30" i="2"/>
  <c r="AN30" i="2"/>
  <c r="L30" i="2"/>
  <c r="H30" i="2"/>
  <c r="AT29" i="2"/>
  <c r="AQ29" i="2"/>
  <c r="AO29" i="2"/>
  <c r="AN29" i="2"/>
  <c r="L29" i="2"/>
  <c r="M29" i="2" s="1"/>
  <c r="H29" i="2"/>
  <c r="AT28" i="2"/>
  <c r="AQ28" i="2"/>
  <c r="AO28" i="2"/>
  <c r="AN28" i="2"/>
  <c r="AT27" i="2"/>
  <c r="AQ27" i="2"/>
  <c r="AO27" i="2"/>
  <c r="AN27" i="2"/>
  <c r="L27" i="2"/>
  <c r="M27" i="2" s="1"/>
  <c r="H27" i="2"/>
  <c r="AZ48" i="2" l="1"/>
  <c r="AY48" i="2"/>
  <c r="AX29" i="2"/>
  <c r="AZ29" i="2" s="1"/>
  <c r="AX41" i="2"/>
  <c r="M39" i="2"/>
  <c r="AX39" i="2" s="1"/>
  <c r="AX36" i="2"/>
  <c r="AX27" i="2"/>
  <c r="AZ27" i="2" s="1"/>
  <c r="AX28" i="2" s="1"/>
  <c r="M32" i="2"/>
  <c r="AX32" i="2" s="1"/>
  <c r="M30" i="2"/>
  <c r="AX30" i="2" s="1"/>
  <c r="AZ30" i="2" s="1"/>
  <c r="AX31" i="2" s="1"/>
  <c r="AY29" i="2" l="1"/>
  <c r="AY27" i="2"/>
  <c r="AY41" i="2"/>
  <c r="AZ41" i="2"/>
  <c r="AX42" i="2" s="1"/>
  <c r="AY42" i="2" s="1"/>
  <c r="AZ39" i="2"/>
  <c r="AX40" i="2" s="1"/>
  <c r="AZ40" i="2" s="1"/>
  <c r="AY39" i="2"/>
  <c r="AZ36" i="2"/>
  <c r="AX37" i="2" s="1"/>
  <c r="AZ37" i="2" s="1"/>
  <c r="AX38" i="2" s="1"/>
  <c r="AZ38" i="2" s="1"/>
  <c r="AY36" i="2"/>
  <c r="AY30" i="2"/>
  <c r="AZ32" i="2"/>
  <c r="AX33" i="2" s="1"/>
  <c r="AZ33" i="2" s="1"/>
  <c r="AX34" i="2" s="1"/>
  <c r="AZ34" i="2" s="1"/>
  <c r="AX35" i="2" s="1"/>
  <c r="AY35" i="2" s="1"/>
  <c r="AY32" i="2"/>
  <c r="AZ31" i="2"/>
  <c r="AY31" i="2"/>
  <c r="AY28" i="2"/>
  <c r="AZ28" i="2"/>
  <c r="AZ42" i="2" l="1"/>
  <c r="AY40" i="2"/>
  <c r="AY38" i="2"/>
  <c r="AY37" i="2"/>
  <c r="AY33" i="2"/>
  <c r="AY34" i="2"/>
  <c r="AZ35" i="2"/>
  <c r="AN13" i="2" l="1"/>
  <c r="AN12" i="2"/>
  <c r="AN11" i="2"/>
  <c r="AN10" i="2"/>
  <c r="AQ11" i="2"/>
  <c r="AQ10" i="2"/>
  <c r="H12" i="2"/>
  <c r="AO10" i="2"/>
  <c r="AO11" i="2"/>
  <c r="H14" i="2" l="1"/>
  <c r="H15" i="2"/>
  <c r="H18" i="2"/>
  <c r="H19" i="2"/>
  <c r="H21" i="2"/>
  <c r="H23" i="2"/>
  <c r="H24" i="2"/>
  <c r="H25" i="2"/>
  <c r="H10" i="2"/>
  <c r="AO12" i="2"/>
  <c r="AO13" i="2"/>
  <c r="AO14" i="2"/>
  <c r="AO15" i="2"/>
  <c r="AO16" i="2"/>
  <c r="AO17" i="2"/>
  <c r="AO18" i="2"/>
  <c r="AO19" i="2"/>
  <c r="AO20" i="2"/>
  <c r="AO21" i="2"/>
  <c r="AO22" i="2"/>
  <c r="AO23" i="2"/>
  <c r="AO24" i="2"/>
  <c r="AO25" i="2"/>
  <c r="AO26" i="2"/>
  <c r="AN14" i="2"/>
  <c r="AN15" i="2"/>
  <c r="AN16" i="2"/>
  <c r="AN17" i="2"/>
  <c r="AN18" i="2"/>
  <c r="AN19" i="2"/>
  <c r="AN20" i="2"/>
  <c r="AN21" i="2"/>
  <c r="AN22" i="2"/>
  <c r="AN23" i="2"/>
  <c r="AN24" i="2"/>
  <c r="AN25" i="2"/>
  <c r="AN26" i="2"/>
  <c r="L12" i="2"/>
  <c r="L14" i="2"/>
  <c r="L15" i="2"/>
  <c r="L18" i="2"/>
  <c r="L19" i="2"/>
  <c r="L21" i="2"/>
  <c r="L23" i="2"/>
  <c r="L24" i="2"/>
  <c r="L25" i="2"/>
  <c r="L10" i="2"/>
  <c r="B223" i="6" l="1"/>
  <c r="B222" i="6"/>
  <c r="F221" i="6"/>
  <c r="B221" i="6"/>
  <c r="F220" i="6"/>
  <c r="F219" i="6"/>
  <c r="F218" i="6"/>
  <c r="F217" i="6"/>
  <c r="F216" i="6"/>
  <c r="F215" i="6"/>
  <c r="F214" i="6"/>
  <c r="F213" i="6"/>
  <c r="F212" i="6"/>
  <c r="F211" i="6"/>
  <c r="H210"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T26" i="2"/>
  <c r="AQ26" i="2"/>
  <c r="AT25" i="2"/>
  <c r="AQ25" i="2"/>
  <c r="M25" i="2"/>
  <c r="AT24" i="2"/>
  <c r="AQ24" i="2"/>
  <c r="AT23" i="2"/>
  <c r="AQ23" i="2"/>
  <c r="M23" i="2"/>
  <c r="AT22" i="2"/>
  <c r="AQ22" i="2"/>
  <c r="AT21" i="2"/>
  <c r="AQ21" i="2"/>
  <c r="AT20" i="2"/>
  <c r="AQ20" i="2"/>
  <c r="AT19" i="2"/>
  <c r="AQ19" i="2"/>
  <c r="M19" i="2"/>
  <c r="AT18" i="2"/>
  <c r="AQ18" i="2"/>
  <c r="AT17" i="2"/>
  <c r="AQ17" i="2"/>
  <c r="AT16" i="2"/>
  <c r="AQ16" i="2"/>
  <c r="AT15" i="2"/>
  <c r="AQ15" i="2"/>
  <c r="AT14" i="2"/>
  <c r="AQ14" i="2"/>
  <c r="AT13" i="2"/>
  <c r="AQ13" i="2"/>
  <c r="AT12" i="2"/>
  <c r="AQ12" i="2"/>
  <c r="M12" i="2"/>
  <c r="AT11" i="2"/>
  <c r="AT10" i="2"/>
  <c r="M10" i="2"/>
  <c r="O114" i="2" l="1"/>
  <c r="AI114" i="2" s="1"/>
  <c r="O117" i="2"/>
  <c r="AI117" i="2" s="1"/>
  <c r="O110" i="2"/>
  <c r="AI110" i="2" s="1"/>
  <c r="O112" i="2"/>
  <c r="AI112" i="2" s="1"/>
  <c r="O107" i="2"/>
  <c r="AI107" i="2" s="1"/>
  <c r="O100" i="2"/>
  <c r="AI100" i="2" s="1"/>
  <c r="O103" i="2"/>
  <c r="O92" i="2"/>
  <c r="AI92" i="2" s="1"/>
  <c r="O98" i="2"/>
  <c r="AI98" i="2" s="1"/>
  <c r="O86" i="2"/>
  <c r="AI86" i="2" s="1"/>
  <c r="O89" i="2"/>
  <c r="AI89" i="2" s="1"/>
  <c r="O83" i="2"/>
  <c r="AI83" i="2" s="1"/>
  <c r="O84" i="2"/>
  <c r="AI84" i="2" s="1"/>
  <c r="O82" i="2"/>
  <c r="AI82" i="2" s="1"/>
  <c r="O78" i="2"/>
  <c r="AI78" i="2" s="1"/>
  <c r="O79" i="2"/>
  <c r="AI79" i="2" s="1"/>
  <c r="O75" i="2"/>
  <c r="AI75" i="2" s="1"/>
  <c r="O74" i="2"/>
  <c r="AI74" i="2" s="1"/>
  <c r="O73" i="2"/>
  <c r="AI73" i="2" s="1"/>
  <c r="O71" i="2"/>
  <c r="AI71" i="2" s="1"/>
  <c r="O64" i="2"/>
  <c r="AI64" i="2" s="1"/>
  <c r="O69" i="2"/>
  <c r="AI69" i="2" s="1"/>
  <c r="O60" i="2"/>
  <c r="AI60" i="2" s="1"/>
  <c r="O55" i="2"/>
  <c r="AI55" i="2" s="1"/>
  <c r="O58" i="2"/>
  <c r="AI58" i="2" s="1"/>
  <c r="O49" i="2"/>
  <c r="AI49" i="2" s="1"/>
  <c r="O53" i="2"/>
  <c r="AI53" i="2" s="1"/>
  <c r="O43" i="2"/>
  <c r="AI43" i="2" s="1"/>
  <c r="O46" i="2"/>
  <c r="AI46" i="2" s="1"/>
  <c r="O41" i="2"/>
  <c r="AI41" i="2" s="1"/>
  <c r="O39" i="2"/>
  <c r="AI39" i="2" s="1"/>
  <c r="O36" i="2"/>
  <c r="AI36" i="2" s="1"/>
  <c r="O30" i="2"/>
  <c r="AI30" i="2" s="1"/>
  <c r="O32" i="2"/>
  <c r="AI32" i="2" s="1"/>
  <c r="O27" i="2"/>
  <c r="AI27" i="2" s="1"/>
  <c r="O29" i="2"/>
  <c r="AI29" i="2" s="1"/>
  <c r="O19" i="2"/>
  <c r="O12" i="2"/>
  <c r="O24" i="2"/>
  <c r="O10" i="2"/>
  <c r="AI10" i="2" s="1"/>
  <c r="O21" i="2"/>
  <c r="O25" i="2"/>
  <c r="O18" i="2"/>
  <c r="O23" i="2"/>
  <c r="O14" i="2"/>
  <c r="O15" i="2"/>
  <c r="M18" i="2"/>
  <c r="AX18" i="2" s="1"/>
  <c r="AX23" i="2"/>
  <c r="AX25" i="2"/>
  <c r="AX12" i="2"/>
  <c r="M14" i="2"/>
  <c r="AX14" i="2" s="1"/>
  <c r="AY14" i="2" s="1"/>
  <c r="M21" i="2"/>
  <c r="AX21" i="2" s="1"/>
  <c r="AY21" i="2" s="1"/>
  <c r="M24" i="2"/>
  <c r="AX24" i="2" s="1"/>
  <c r="AZ24" i="2" s="1"/>
  <c r="AX19" i="2"/>
  <c r="AX10" i="2"/>
  <c r="M15" i="2"/>
  <c r="AX15" i="2" s="1"/>
  <c r="AZ15" i="2" s="1"/>
  <c r="AJ117" i="2" l="1"/>
  <c r="BB117" i="2" s="1"/>
  <c r="BA117" i="2" s="1"/>
  <c r="BC117" i="2" s="1"/>
  <c r="AK117" i="2"/>
  <c r="AK114" i="2"/>
  <c r="AJ114" i="2"/>
  <c r="BB114" i="2" s="1"/>
  <c r="AJ112" i="2"/>
  <c r="BB112" i="2" s="1"/>
  <c r="AK112" i="2"/>
  <c r="AJ110" i="2"/>
  <c r="BB110" i="2" s="1"/>
  <c r="AK110" i="2"/>
  <c r="AJ107" i="2"/>
  <c r="BB107" i="2" s="1"/>
  <c r="BA111" i="2" s="1"/>
  <c r="BC111" i="2" s="1"/>
  <c r="AK107" i="2"/>
  <c r="AK100" i="2"/>
  <c r="AJ100" i="2"/>
  <c r="BB100" i="2" s="1"/>
  <c r="AK98" i="2"/>
  <c r="AJ98" i="2"/>
  <c r="BB98" i="2" s="1"/>
  <c r="AK92" i="2"/>
  <c r="AJ92" i="2"/>
  <c r="BB92" i="2" s="1"/>
  <c r="AK89" i="2"/>
  <c r="AJ89" i="2"/>
  <c r="BB89" i="2" s="1"/>
  <c r="AJ86" i="2"/>
  <c r="BB86" i="2" s="1"/>
  <c r="BA86" i="2" s="1"/>
  <c r="BC86" i="2" s="1"/>
  <c r="AK86" i="2"/>
  <c r="AJ84" i="2"/>
  <c r="BB84" i="2" s="1"/>
  <c r="AK84" i="2"/>
  <c r="AK83" i="2"/>
  <c r="AJ83" i="2"/>
  <c r="BB83" i="2" s="1"/>
  <c r="AK82" i="2"/>
  <c r="AJ82" i="2"/>
  <c r="BB82" i="2" s="1"/>
  <c r="BA82" i="2" s="1"/>
  <c r="BC82" i="2" s="1"/>
  <c r="AJ79" i="2"/>
  <c r="BB79" i="2" s="1"/>
  <c r="BA79" i="2" s="1"/>
  <c r="BC79" i="2" s="1"/>
  <c r="AK79" i="2"/>
  <c r="AJ78" i="2"/>
  <c r="BB78" i="2" s="1"/>
  <c r="AK78" i="2"/>
  <c r="AJ75" i="2"/>
  <c r="BB75" i="2" s="1"/>
  <c r="AK75" i="2"/>
  <c r="AJ74" i="2"/>
  <c r="BB74" i="2" s="1"/>
  <c r="AK74" i="2"/>
  <c r="AJ73" i="2"/>
  <c r="BB73" i="2" s="1"/>
  <c r="BA73" i="2" s="1"/>
  <c r="BC73" i="2" s="1"/>
  <c r="AK73" i="2"/>
  <c r="AJ71" i="2"/>
  <c r="BB71" i="2" s="1"/>
  <c r="BA71" i="2" s="1"/>
  <c r="BC71" i="2" s="1"/>
  <c r="AK71" i="2"/>
  <c r="AJ69" i="2"/>
  <c r="BB69" i="2" s="1"/>
  <c r="AK69" i="2"/>
  <c r="AJ64" i="2"/>
  <c r="BB64" i="2" s="1"/>
  <c r="AK64" i="2"/>
  <c r="AJ60" i="2"/>
  <c r="BB60" i="2" s="1"/>
  <c r="AK60" i="2"/>
  <c r="AJ58" i="2"/>
  <c r="BB58" i="2" s="1"/>
  <c r="AK58" i="2"/>
  <c r="AJ55" i="2"/>
  <c r="BB55" i="2" s="1"/>
  <c r="AK55" i="2"/>
  <c r="AJ53" i="2"/>
  <c r="BB53" i="2" s="1"/>
  <c r="AK53" i="2"/>
  <c r="AJ49" i="2"/>
  <c r="BB49" i="2" s="1"/>
  <c r="AK49" i="2"/>
  <c r="AJ46" i="2"/>
  <c r="BB46" i="2" s="1"/>
  <c r="AK46" i="2"/>
  <c r="AJ43" i="2"/>
  <c r="BB43" i="2" s="1"/>
  <c r="AK43" i="2"/>
  <c r="AJ41" i="2"/>
  <c r="BB41" i="2" s="1"/>
  <c r="AK41" i="2"/>
  <c r="AJ39" i="2"/>
  <c r="BB39" i="2" s="1"/>
  <c r="BB42" i="2" s="1"/>
  <c r="BA42" i="2" s="1"/>
  <c r="BC42" i="2" s="1"/>
  <c r="AK39" i="2"/>
  <c r="AJ36" i="2"/>
  <c r="BB36" i="2" s="1"/>
  <c r="AK36" i="2"/>
  <c r="AJ32" i="2"/>
  <c r="BB32" i="2" s="1"/>
  <c r="AK32" i="2"/>
  <c r="AJ30" i="2"/>
  <c r="BB30" i="2" s="1"/>
  <c r="AK30" i="2"/>
  <c r="AJ29" i="2"/>
  <c r="BB29" i="2" s="1"/>
  <c r="AK29" i="2"/>
  <c r="AK27" i="2"/>
  <c r="AJ27" i="2"/>
  <c r="BB27" i="2" s="1"/>
  <c r="BA27" i="2" s="1"/>
  <c r="BC27" i="2" s="1"/>
  <c r="AI25" i="2"/>
  <c r="AK25" i="2" s="1"/>
  <c r="AY24" i="2"/>
  <c r="AI24" i="2"/>
  <c r="N26" i="3" s="1"/>
  <c r="AA44" i="4"/>
  <c r="AI23" i="2"/>
  <c r="L10" i="3" s="1"/>
  <c r="AZ21" i="2"/>
  <c r="AX22" i="2" s="1"/>
  <c r="AY22" i="2" s="1"/>
  <c r="AI21" i="2"/>
  <c r="AB34" i="3" s="1"/>
  <c r="AI19" i="2"/>
  <c r="Z16" i="3" s="1"/>
  <c r="AE44" i="4"/>
  <c r="AX16" i="2"/>
  <c r="AZ16" i="2" s="1"/>
  <c r="AX17" i="2" s="1"/>
  <c r="AZ17" i="2" s="1"/>
  <c r="AI18" i="2"/>
  <c r="AJ8" i="3" s="1"/>
  <c r="AI15" i="2"/>
  <c r="AH32" i="3" s="1"/>
  <c r="AI14" i="2"/>
  <c r="AJ14" i="2" s="1"/>
  <c r="BB14" i="2" s="1"/>
  <c r="AI12" i="2"/>
  <c r="AJ12" i="2" s="1"/>
  <c r="BB12" i="2" s="1"/>
  <c r="AH22" i="3"/>
  <c r="AG47" i="4"/>
  <c r="O46" i="4"/>
  <c r="N50" i="4"/>
  <c r="S38" i="4"/>
  <c r="AG50" i="4"/>
  <c r="K54" i="4"/>
  <c r="T42" i="4"/>
  <c r="S49" i="4"/>
  <c r="AE52" i="4"/>
  <c r="U39" i="4"/>
  <c r="M50" i="4"/>
  <c r="T44" i="4"/>
  <c r="AZ14" i="2"/>
  <c r="AA42" i="4"/>
  <c r="R50" i="4"/>
  <c r="AY15" i="2"/>
  <c r="AJ44" i="4"/>
  <c r="AH14" i="3"/>
  <c r="P6" i="3"/>
  <c r="V6" i="3"/>
  <c r="V14" i="3"/>
  <c r="AJ10" i="2"/>
  <c r="BB10" i="2" s="1"/>
  <c r="AK10" i="2"/>
  <c r="J38" i="3"/>
  <c r="P38" i="3"/>
  <c r="J30" i="3"/>
  <c r="AH38" i="3"/>
  <c r="AB30" i="3"/>
  <c r="V22" i="3"/>
  <c r="J6" i="3"/>
  <c r="AH6" i="3"/>
  <c r="P30" i="3"/>
  <c r="AB22" i="3"/>
  <c r="AB6" i="3"/>
  <c r="AB38" i="3"/>
  <c r="V30" i="3"/>
  <c r="P14" i="3"/>
  <c r="AH30" i="3"/>
  <c r="J14" i="3"/>
  <c r="J22" i="3"/>
  <c r="AY12" i="2"/>
  <c r="AZ12" i="2"/>
  <c r="AX13" i="2" s="1"/>
  <c r="AY13" i="2" s="1"/>
  <c r="AY18" i="2"/>
  <c r="AZ18" i="2"/>
  <c r="AY10" i="2"/>
  <c r="AZ10" i="2"/>
  <c r="AX11" i="2" s="1"/>
  <c r="AY11" i="2" s="1"/>
  <c r="AZ23" i="2"/>
  <c r="AY23" i="2"/>
  <c r="AJ52" i="4"/>
  <c r="X52" i="4"/>
  <c r="L52" i="4"/>
  <c r="AJ42" i="4"/>
  <c r="X42" i="4"/>
  <c r="L42" i="4"/>
  <c r="R52" i="4"/>
  <c r="AJ32" i="4"/>
  <c r="X32" i="4"/>
  <c r="L32" i="4"/>
  <c r="R42" i="4"/>
  <c r="AD52" i="4"/>
  <c r="AD42" i="4"/>
  <c r="AJ22" i="4"/>
  <c r="X22" i="4"/>
  <c r="L22" i="4"/>
  <c r="AJ12" i="4"/>
  <c r="X12" i="4"/>
  <c r="AD32" i="4"/>
  <c r="R22" i="4"/>
  <c r="R32" i="4"/>
  <c r="R12" i="4"/>
  <c r="AD22" i="4"/>
  <c r="AD12" i="4"/>
  <c r="L12" i="4"/>
  <c r="U54" i="4"/>
  <c r="O54" i="4"/>
  <c r="AG44" i="4"/>
  <c r="AG54" i="4"/>
  <c r="AA54" i="4"/>
  <c r="AM44" i="4"/>
  <c r="U44" i="4"/>
  <c r="AM24" i="4"/>
  <c r="AA34" i="4"/>
  <c r="AG14" i="4"/>
  <c r="AA14" i="4"/>
  <c r="O14" i="4"/>
  <c r="AM14" i="4"/>
  <c r="AZ19" i="2"/>
  <c r="AX20" i="2" s="1"/>
  <c r="AY20" i="2" s="1"/>
  <c r="AY19" i="2"/>
  <c r="AM48" i="4"/>
  <c r="AM38" i="4"/>
  <c r="AA38" i="4"/>
  <c r="O38" i="4"/>
  <c r="U48" i="4"/>
  <c r="AA48" i="4"/>
  <c r="AG38" i="4"/>
  <c r="O48" i="4"/>
  <c r="U38" i="4"/>
  <c r="AG48" i="4"/>
  <c r="AM28" i="4"/>
  <c r="AA28" i="4"/>
  <c r="O28" i="4"/>
  <c r="AM18" i="4"/>
  <c r="AA18" i="4"/>
  <c r="O18" i="4"/>
  <c r="AM8" i="4"/>
  <c r="AA8" i="4"/>
  <c r="O8" i="4"/>
  <c r="U28" i="4"/>
  <c r="AG18" i="4"/>
  <c r="AG8" i="4"/>
  <c r="U8" i="4"/>
  <c r="AG28" i="4"/>
  <c r="U18" i="4"/>
  <c r="AL47" i="4"/>
  <c r="Z47" i="4"/>
  <c r="N47" i="4"/>
  <c r="AF47" i="4"/>
  <c r="AL37" i="4"/>
  <c r="Z37" i="4"/>
  <c r="N37" i="4"/>
  <c r="AF37" i="4"/>
  <c r="T37" i="4"/>
  <c r="T47" i="4"/>
  <c r="AL27" i="4"/>
  <c r="Z27" i="4"/>
  <c r="N27" i="4"/>
  <c r="AL17" i="4"/>
  <c r="Z17" i="4"/>
  <c r="N17" i="4"/>
  <c r="T27" i="4"/>
  <c r="AF17" i="4"/>
  <c r="AF7" i="4"/>
  <c r="T7" i="4"/>
  <c r="AF27" i="4"/>
  <c r="T17" i="4"/>
  <c r="Z7" i="4"/>
  <c r="AL7" i="4"/>
  <c r="N7" i="4"/>
  <c r="AZ25" i="2"/>
  <c r="AX26" i="2" s="1"/>
  <c r="AZ26" i="2" s="1"/>
  <c r="AY25" i="2"/>
  <c r="BA114" i="2" l="1"/>
  <c r="BC114" i="2" s="1"/>
  <c r="BB118" i="2"/>
  <c r="BA112" i="2"/>
  <c r="BC112" i="2" s="1"/>
  <c r="BA110" i="2"/>
  <c r="BC110" i="2" s="1"/>
  <c r="BB113" i="2"/>
  <c r="BA113" i="2" s="1"/>
  <c r="BC113" i="2" s="1"/>
  <c r="BA107" i="2"/>
  <c r="BC107" i="2" s="1"/>
  <c r="BB109" i="2"/>
  <c r="BA109" i="2" s="1"/>
  <c r="BC109" i="2" s="1"/>
  <c r="BA100" i="2"/>
  <c r="BC100" i="2" s="1"/>
  <c r="BB106" i="2"/>
  <c r="BA106" i="2" s="1"/>
  <c r="BC106" i="2" s="1"/>
  <c r="BA98" i="2"/>
  <c r="BC98" i="2" s="1"/>
  <c r="BB101" i="2"/>
  <c r="BA92" i="2"/>
  <c r="BC92" i="2" s="1"/>
  <c r="BA99" i="2"/>
  <c r="BC99" i="2" s="1"/>
  <c r="BA89" i="2"/>
  <c r="BC89" i="2" s="1"/>
  <c r="BB93" i="2"/>
  <c r="BA84" i="2"/>
  <c r="BC84" i="2" s="1"/>
  <c r="BA83" i="2"/>
  <c r="BC83" i="2" s="1"/>
  <c r="BB85" i="2"/>
  <c r="BA85" i="2" s="1"/>
  <c r="BC85" i="2" s="1"/>
  <c r="BA78" i="2"/>
  <c r="BC78" i="2" s="1"/>
  <c r="BB80" i="2"/>
  <c r="BA75" i="2"/>
  <c r="BC75" i="2" s="1"/>
  <c r="BB77" i="2"/>
  <c r="BA77" i="2" s="1"/>
  <c r="BC77" i="2" s="1"/>
  <c r="BA74" i="2"/>
  <c r="BC74" i="2" s="1"/>
  <c r="BA76" i="2"/>
  <c r="BC76" i="2" s="1"/>
  <c r="BA69" i="2"/>
  <c r="BC69" i="2" s="1"/>
  <c r="BA72" i="2"/>
  <c r="BC72" i="2" s="1"/>
  <c r="BA64" i="2"/>
  <c r="BC64" i="2" s="1"/>
  <c r="BA70" i="2"/>
  <c r="BC70" i="2" s="1"/>
  <c r="BA60" i="2"/>
  <c r="BC60" i="2" s="1"/>
  <c r="BB65" i="2"/>
  <c r="BA58" i="2"/>
  <c r="BC58" i="2" s="1"/>
  <c r="BB61" i="2"/>
  <c r="BA55" i="2"/>
  <c r="BC55" i="2" s="1"/>
  <c r="BB59" i="2"/>
  <c r="BA59" i="2" s="1"/>
  <c r="BC59" i="2" s="1"/>
  <c r="BA53" i="2"/>
  <c r="BC53" i="2" s="1"/>
  <c r="BB56" i="2"/>
  <c r="BA49" i="2"/>
  <c r="BC49" i="2" s="1"/>
  <c r="BB54" i="2"/>
  <c r="BA54" i="2" s="1"/>
  <c r="BC54" i="2" s="1"/>
  <c r="BA46" i="2"/>
  <c r="BC46" i="2" s="1"/>
  <c r="BB48" i="2"/>
  <c r="BA48" i="2" s="1"/>
  <c r="BC48" i="2" s="1"/>
  <c r="BA43" i="2"/>
  <c r="BC43" i="2" s="1"/>
  <c r="BB47" i="2"/>
  <c r="BA47" i="2" s="1"/>
  <c r="BC47" i="2" s="1"/>
  <c r="BA41" i="2"/>
  <c r="BC41" i="2" s="1"/>
  <c r="BB44" i="2"/>
  <c r="BA40" i="2"/>
  <c r="BC40" i="2" s="1"/>
  <c r="BA36" i="2"/>
  <c r="BC36" i="2" s="1"/>
  <c r="BB38" i="2"/>
  <c r="BA38" i="2" s="1"/>
  <c r="BC38" i="2" s="1"/>
  <c r="BA32" i="2"/>
  <c r="BC32" i="2" s="1"/>
  <c r="BB37" i="2"/>
  <c r="BA37" i="2" s="1"/>
  <c r="BC37" i="2" s="1"/>
  <c r="BA30" i="2"/>
  <c r="BC30" i="2" s="1"/>
  <c r="BB33" i="2"/>
  <c r="AY26" i="2"/>
  <c r="BA29" i="2"/>
  <c r="BC29" i="2" s="1"/>
  <c r="BB31" i="2"/>
  <c r="BA31" i="2" s="1"/>
  <c r="BC31" i="2" s="1"/>
  <c r="AH12" i="3"/>
  <c r="AB12" i="3"/>
  <c r="AH36" i="3"/>
  <c r="V36" i="3"/>
  <c r="AH20" i="3"/>
  <c r="AH44" i="3"/>
  <c r="J36" i="3"/>
  <c r="AB28" i="3"/>
  <c r="P28" i="3"/>
  <c r="P12" i="3"/>
  <c r="AB36" i="3"/>
  <c r="AB44" i="3"/>
  <c r="J44" i="3"/>
  <c r="V44" i="3"/>
  <c r="V20" i="3"/>
  <c r="P36" i="3"/>
  <c r="J12" i="3"/>
  <c r="AJ25" i="2"/>
  <c r="BB90" i="2" s="1"/>
  <c r="V28" i="3"/>
  <c r="AB20" i="3"/>
  <c r="AH28" i="3"/>
  <c r="J20" i="3"/>
  <c r="V12" i="3"/>
  <c r="J28" i="3"/>
  <c r="P44" i="3"/>
  <c r="P20" i="3"/>
  <c r="AG24" i="4"/>
  <c r="O24" i="4"/>
  <c r="AM34" i="4"/>
  <c r="AG34" i="4"/>
  <c r="AA24" i="4"/>
  <c r="AM54" i="4"/>
  <c r="O34" i="4"/>
  <c r="U14" i="4"/>
  <c r="O44" i="4"/>
  <c r="U24" i="4"/>
  <c r="U34" i="4"/>
  <c r="T18" i="3"/>
  <c r="AL18" i="3"/>
  <c r="AF42" i="3"/>
  <c r="Z26" i="3"/>
  <c r="N42" i="3"/>
  <c r="AL10" i="3"/>
  <c r="AL34" i="3"/>
  <c r="T26" i="3"/>
  <c r="T10" i="3"/>
  <c r="AJ24" i="2"/>
  <c r="BB24" i="2" s="1"/>
  <c r="Z42" i="3"/>
  <c r="Z34" i="3"/>
  <c r="AF34" i="3"/>
  <c r="N10" i="3"/>
  <c r="AK24" i="2"/>
  <c r="T34" i="3"/>
  <c r="AL26" i="3"/>
  <c r="Z10" i="3"/>
  <c r="N34" i="3"/>
  <c r="AF26" i="3"/>
  <c r="AL42" i="3"/>
  <c r="N18" i="3"/>
  <c r="Z18" i="3"/>
  <c r="AF18" i="3"/>
  <c r="AF10" i="3"/>
  <c r="T42" i="3"/>
  <c r="M24" i="4"/>
  <c r="AK34" i="4"/>
  <c r="Y54" i="4"/>
  <c r="S24" i="4"/>
  <c r="AE14" i="4"/>
  <c r="Y34" i="4"/>
  <c r="AK44" i="4"/>
  <c r="AK14" i="4"/>
  <c r="AE34" i="4"/>
  <c r="S54" i="4"/>
  <c r="AK54" i="4"/>
  <c r="M34" i="4"/>
  <c r="Y44" i="4"/>
  <c r="S44" i="4"/>
  <c r="AK24" i="4"/>
  <c r="M54" i="4"/>
  <c r="AE54" i="4"/>
  <c r="M14" i="4"/>
  <c r="M44" i="4"/>
  <c r="Y24" i="4"/>
  <c r="S14" i="4"/>
  <c r="AE24" i="4"/>
  <c r="Y14" i="4"/>
  <c r="S34" i="4"/>
  <c r="L26" i="3"/>
  <c r="AD42" i="3"/>
  <c r="AD18" i="3"/>
  <c r="AD34" i="3"/>
  <c r="X10" i="3"/>
  <c r="X42" i="3"/>
  <c r="AK23" i="2"/>
  <c r="X34" i="3"/>
  <c r="L18" i="3"/>
  <c r="R26" i="3"/>
  <c r="X18" i="3"/>
  <c r="AJ23" i="2"/>
  <c r="BB23" i="2" s="1"/>
  <c r="BA23" i="2" s="1"/>
  <c r="J43" i="4" s="1"/>
  <c r="X26" i="3"/>
  <c r="AJ42" i="3"/>
  <c r="AD26" i="3"/>
  <c r="L42" i="3"/>
  <c r="R34" i="3"/>
  <c r="R42" i="3"/>
  <c r="AJ34" i="3"/>
  <c r="R10" i="3"/>
  <c r="R18" i="3"/>
  <c r="AJ18" i="3"/>
  <c r="L34" i="3"/>
  <c r="AJ10" i="3"/>
  <c r="AJ26" i="3"/>
  <c r="AD10" i="3"/>
  <c r="AZ22" i="2"/>
  <c r="P34" i="3"/>
  <c r="AH18" i="3"/>
  <c r="J18" i="3"/>
  <c r="AK21" i="2"/>
  <c r="P42" i="3"/>
  <c r="J26" i="3"/>
  <c r="P18" i="3"/>
  <c r="P10" i="3"/>
  <c r="V18" i="3"/>
  <c r="V42" i="3"/>
  <c r="P26" i="3"/>
  <c r="V34" i="3"/>
  <c r="AB26" i="3"/>
  <c r="AH26" i="3"/>
  <c r="AJ21" i="2"/>
  <c r="BB21" i="2" s="1"/>
  <c r="BA21" i="2" s="1"/>
  <c r="AB42" i="3"/>
  <c r="AH10" i="3"/>
  <c r="AH42" i="3"/>
  <c r="V10" i="3"/>
  <c r="AB10" i="3"/>
  <c r="V26" i="3"/>
  <c r="J42" i="3"/>
  <c r="J34" i="3"/>
  <c r="AB18" i="3"/>
  <c r="J10" i="3"/>
  <c r="AH34" i="3"/>
  <c r="AZ20" i="2"/>
  <c r="T16" i="3"/>
  <c r="T24" i="3"/>
  <c r="N32" i="3"/>
  <c r="N8" i="3"/>
  <c r="Z32" i="3"/>
  <c r="AF24" i="3"/>
  <c r="AK19" i="2"/>
  <c r="AF8" i="3"/>
  <c r="AL24" i="3"/>
  <c r="N40" i="3"/>
  <c r="AF16" i="3"/>
  <c r="AF40" i="3"/>
  <c r="AF32" i="3"/>
  <c r="Z40" i="3"/>
  <c r="AL8" i="3"/>
  <c r="T8" i="3"/>
  <c r="AJ19" i="2"/>
  <c r="BB19" i="2" s="1"/>
  <c r="Z8" i="3"/>
  <c r="N16" i="3"/>
  <c r="N24" i="3"/>
  <c r="AL32" i="3"/>
  <c r="AL40" i="3"/>
  <c r="AL16" i="3"/>
  <c r="T40" i="3"/>
  <c r="Z24" i="3"/>
  <c r="T32" i="3"/>
  <c r="Z10" i="4"/>
  <c r="AL50" i="4"/>
  <c r="AY17" i="2"/>
  <c r="AY16" i="2"/>
  <c r="AM32" i="4"/>
  <c r="O52" i="4"/>
  <c r="Y22" i="4"/>
  <c r="AG22" i="4"/>
  <c r="AK22" i="4"/>
  <c r="Y52" i="4"/>
  <c r="S12" i="4"/>
  <c r="S32" i="4"/>
  <c r="S22" i="4"/>
  <c r="Y42" i="4"/>
  <c r="AK52" i="4"/>
  <c r="AK30" i="4"/>
  <c r="M10" i="4"/>
  <c r="AE10" i="4"/>
  <c r="S20" i="4"/>
  <c r="S50" i="4"/>
  <c r="AK40" i="4"/>
  <c r="AZ13" i="2"/>
  <c r="AM27" i="4"/>
  <c r="O17" i="4"/>
  <c r="BB13" i="2"/>
  <c r="BA13" i="2" s="1"/>
  <c r="K47" i="4" s="1"/>
  <c r="AM37" i="4"/>
  <c r="AA27" i="4"/>
  <c r="AG17" i="4"/>
  <c r="AG27" i="4"/>
  <c r="O37" i="4"/>
  <c r="O27" i="4"/>
  <c r="U47" i="4"/>
  <c r="BA12" i="2"/>
  <c r="V47" i="4" s="1"/>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J18" i="2"/>
  <c r="BB18" i="2" s="1"/>
  <c r="L32" i="3"/>
  <c r="X16" i="3"/>
  <c r="X40" i="3"/>
  <c r="R32" i="3"/>
  <c r="L24" i="3"/>
  <c r="X24" i="3"/>
  <c r="AD32" i="3"/>
  <c r="X32" i="3"/>
  <c r="L16" i="3"/>
  <c r="R40" i="3"/>
  <c r="AD16" i="3"/>
  <c r="R8" i="3"/>
  <c r="L40" i="3"/>
  <c r="AD8" i="3"/>
  <c r="L8" i="3"/>
  <c r="AK18" i="2"/>
  <c r="T50" i="4"/>
  <c r="T10" i="4"/>
  <c r="T20" i="4"/>
  <c r="AL40" i="4"/>
  <c r="N30" i="4"/>
  <c r="AL10" i="4"/>
  <c r="Z50" i="4"/>
  <c r="AF40" i="4"/>
  <c r="AL30" i="4"/>
  <c r="N20" i="4"/>
  <c r="AF20" i="4"/>
  <c r="N40" i="4"/>
  <c r="AF50" i="4"/>
  <c r="AF10" i="4"/>
  <c r="N10" i="4"/>
  <c r="AL20" i="4"/>
  <c r="T30" i="4"/>
  <c r="T40" i="4"/>
  <c r="BA14" i="2"/>
  <c r="AH38" i="4" s="1"/>
  <c r="AK18" i="4"/>
  <c r="AE38" i="4"/>
  <c r="AF22" i="3"/>
  <c r="AL6" i="3"/>
  <c r="AF14" i="3"/>
  <c r="V8" i="3"/>
  <c r="AH24" i="3"/>
  <c r="AH16" i="3"/>
  <c r="AB16" i="3"/>
  <c r="AB32" i="3"/>
  <c r="AB8" i="3"/>
  <c r="P24" i="3"/>
  <c r="AB24" i="3"/>
  <c r="V24" i="3"/>
  <c r="AB40" i="3"/>
  <c r="J16" i="3"/>
  <c r="P16" i="3"/>
  <c r="J8" i="3"/>
  <c r="P32" i="3"/>
  <c r="AH40" i="3"/>
  <c r="P40" i="3"/>
  <c r="J40" i="3"/>
  <c r="AH8" i="3"/>
  <c r="AJ15" i="2"/>
  <c r="BB15" i="2" s="1"/>
  <c r="V40" i="3"/>
  <c r="J32" i="3"/>
  <c r="V32" i="3"/>
  <c r="J24" i="3"/>
  <c r="V16" i="3"/>
  <c r="AK15" i="2"/>
  <c r="P8" i="3"/>
  <c r="T6" i="3"/>
  <c r="T38" i="3"/>
  <c r="M18" i="4"/>
  <c r="AL30" i="3"/>
  <c r="AF6" i="3"/>
  <c r="N38" i="3"/>
  <c r="AK28" i="4"/>
  <c r="T22" i="3"/>
  <c r="T14" i="3"/>
  <c r="AK48" i="4"/>
  <c r="M28" i="4"/>
  <c r="AL14" i="3"/>
  <c r="Z14" i="3"/>
  <c r="N30" i="3"/>
  <c r="T30" i="3"/>
  <c r="AK14" i="2"/>
  <c r="S8" i="4"/>
  <c r="M48" i="4"/>
  <c r="AK8" i="4"/>
  <c r="Y18" i="4"/>
  <c r="S28" i="4"/>
  <c r="N14" i="3"/>
  <c r="AF30" i="3"/>
  <c r="AL22" i="3"/>
  <c r="N22" i="3"/>
  <c r="AF38" i="3"/>
  <c r="Z38" i="3"/>
  <c r="Z22" i="3"/>
  <c r="AL38" i="3"/>
  <c r="N6" i="3"/>
  <c r="Z6" i="3"/>
  <c r="Z30" i="3"/>
  <c r="O7" i="4"/>
  <c r="U17" i="4"/>
  <c r="U7" i="4"/>
  <c r="AA37" i="4"/>
  <c r="U37" i="4"/>
  <c r="AA47" i="4"/>
  <c r="AA7" i="4"/>
  <c r="AA17" i="4"/>
  <c r="AG7" i="4"/>
  <c r="U27" i="4"/>
  <c r="AG37" i="4"/>
  <c r="AZ11" i="2"/>
  <c r="AJ14" i="3"/>
  <c r="AD14" i="3"/>
  <c r="O6" i="4"/>
  <c r="U46" i="4"/>
  <c r="U16" i="4"/>
  <c r="BA10" i="2"/>
  <c r="AB46" i="4" s="1"/>
  <c r="BB11" i="2"/>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AK12" i="2"/>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BA118" i="2" l="1"/>
  <c r="BC118" i="2" s="1"/>
  <c r="BB119" i="2"/>
  <c r="BA119" i="2" s="1"/>
  <c r="BC119" i="2" s="1"/>
  <c r="BA115" i="2"/>
  <c r="BC115" i="2" s="1"/>
  <c r="BB116" i="2"/>
  <c r="BA116" i="2" s="1"/>
  <c r="BC116" i="2" s="1"/>
  <c r="BA104" i="2"/>
  <c r="BC104" i="2" s="1"/>
  <c r="BB105" i="2"/>
  <c r="BA105" i="2" s="1"/>
  <c r="BC105" i="2" s="1"/>
  <c r="BA101" i="2"/>
  <c r="BC101" i="2" s="1"/>
  <c r="BB102" i="2"/>
  <c r="BA102" i="2" s="1"/>
  <c r="BC102" i="2" s="1"/>
  <c r="BA93" i="2"/>
  <c r="BC93" i="2" s="1"/>
  <c r="BB94" i="2"/>
  <c r="BA90" i="2"/>
  <c r="BC90" i="2" s="1"/>
  <c r="BB91" i="2"/>
  <c r="BA91" i="2" s="1"/>
  <c r="BC91" i="2" s="1"/>
  <c r="BA87" i="2"/>
  <c r="BC87" i="2" s="1"/>
  <c r="BB88" i="2"/>
  <c r="BA88" i="2" s="1"/>
  <c r="BC88" i="2" s="1"/>
  <c r="BA80" i="2"/>
  <c r="BC80" i="2" s="1"/>
  <c r="BB81" i="2"/>
  <c r="BA81" i="2" s="1"/>
  <c r="BC81" i="2" s="1"/>
  <c r="BA65" i="2"/>
  <c r="BC65" i="2" s="1"/>
  <c r="BB66" i="2"/>
  <c r="BA61" i="2"/>
  <c r="BC61" i="2" s="1"/>
  <c r="BB62" i="2"/>
  <c r="BA56" i="2"/>
  <c r="BC56" i="2" s="1"/>
  <c r="BB57" i="2"/>
  <c r="BA57" i="2" s="1"/>
  <c r="BC57" i="2" s="1"/>
  <c r="BB25" i="2"/>
  <c r="BA25" i="2" s="1"/>
  <c r="J35" i="4" s="1"/>
  <c r="BB50" i="2"/>
  <c r="BA44" i="2"/>
  <c r="BC44" i="2" s="1"/>
  <c r="BB45" i="2"/>
  <c r="BA45" i="2" s="1"/>
  <c r="BC45" i="2" s="1"/>
  <c r="BA33" i="2"/>
  <c r="BC33" i="2" s="1"/>
  <c r="BB34" i="2"/>
  <c r="BA39" i="2" s="1"/>
  <c r="BC39" i="2" s="1"/>
  <c r="BA24" i="2"/>
  <c r="AB24" i="4" s="1"/>
  <c r="BB26" i="2"/>
  <c r="BA26" i="2" s="1"/>
  <c r="AB33" i="4"/>
  <c r="P43" i="4"/>
  <c r="AB43" i="4"/>
  <c r="V43" i="4"/>
  <c r="AH43" i="4"/>
  <c r="P33" i="4"/>
  <c r="BC23" i="2"/>
  <c r="V13" i="4"/>
  <c r="J33" i="4"/>
  <c r="V53" i="4"/>
  <c r="J13" i="4"/>
  <c r="AH53" i="4"/>
  <c r="AB13" i="4"/>
  <c r="J23" i="4"/>
  <c r="AH33" i="4"/>
  <c r="J53" i="4"/>
  <c r="AH13" i="4"/>
  <c r="V33" i="4"/>
  <c r="P23" i="4"/>
  <c r="V23" i="4"/>
  <c r="AB53" i="4"/>
  <c r="P53" i="4"/>
  <c r="P13" i="4"/>
  <c r="AB23" i="4"/>
  <c r="AH23" i="4"/>
  <c r="BA19" i="2"/>
  <c r="V41" i="4" s="1"/>
  <c r="BB22" i="2"/>
  <c r="BA22" i="2" s="1"/>
  <c r="J52" i="4"/>
  <c r="AB22" i="4"/>
  <c r="J12" i="4"/>
  <c r="AB32" i="4"/>
  <c r="P22" i="4"/>
  <c r="V22" i="4"/>
  <c r="V32" i="4"/>
  <c r="P32" i="4"/>
  <c r="AB12" i="4"/>
  <c r="AH32" i="4"/>
  <c r="AH52" i="4"/>
  <c r="V12" i="4"/>
  <c r="AB52" i="4"/>
  <c r="AH42" i="4"/>
  <c r="J32" i="4"/>
  <c r="P12" i="4"/>
  <c r="J22" i="4"/>
  <c r="P52" i="4"/>
  <c r="J42" i="4"/>
  <c r="AH22" i="4"/>
  <c r="BC21" i="2"/>
  <c r="V42" i="4"/>
  <c r="AH12" i="4"/>
  <c r="V52" i="4"/>
  <c r="AB42" i="4"/>
  <c r="P42" i="4"/>
  <c r="BA18" i="2"/>
  <c r="AH50" i="4" s="1"/>
  <c r="BB20" i="2"/>
  <c r="BA20" i="2" s="1"/>
  <c r="J37" i="4"/>
  <c r="AH7" i="4"/>
  <c r="V7" i="4"/>
  <c r="AH17" i="4"/>
  <c r="J27" i="4"/>
  <c r="J17" i="4"/>
  <c r="AB47" i="4"/>
  <c r="V17" i="4"/>
  <c r="J7" i="4"/>
  <c r="V37" i="4"/>
  <c r="P27" i="4"/>
  <c r="AH37" i="4"/>
  <c r="AB27" i="4"/>
  <c r="P47" i="4"/>
  <c r="P7" i="4"/>
  <c r="V27" i="4"/>
  <c r="J47" i="4"/>
  <c r="AB7" i="4"/>
  <c r="AH27" i="4"/>
  <c r="AH47" i="4"/>
  <c r="P17" i="4"/>
  <c r="AB37" i="4"/>
  <c r="BC12" i="2"/>
  <c r="AB17" i="4"/>
  <c r="P37" i="4"/>
  <c r="AH28" i="4"/>
  <c r="BA15" i="2"/>
  <c r="P9" i="4" s="1"/>
  <c r="P8" i="4"/>
  <c r="AB8" i="4"/>
  <c r="V28" i="4"/>
  <c r="AB48" i="4"/>
  <c r="AH48" i="4"/>
  <c r="J28" i="4"/>
  <c r="V8" i="4"/>
  <c r="V18" i="4"/>
  <c r="J48" i="4"/>
  <c r="AB38" i="4"/>
  <c r="P38" i="4"/>
  <c r="P48" i="4"/>
  <c r="AB28" i="4"/>
  <c r="P18" i="4"/>
  <c r="J38" i="4"/>
  <c r="P28" i="4"/>
  <c r="V38" i="4"/>
  <c r="J8" i="4"/>
  <c r="AB18" i="4"/>
  <c r="J18" i="4"/>
  <c r="BC14" i="2"/>
  <c r="AH18" i="4"/>
  <c r="V48" i="4"/>
  <c r="AH8" i="4"/>
  <c r="BA16" i="2"/>
  <c r="BB17" i="2"/>
  <c r="BA17" i="2" s="1"/>
  <c r="P6" i="4"/>
  <c r="AH16" i="4"/>
  <c r="J46" i="4"/>
  <c r="W47" i="4"/>
  <c r="Q47" i="4"/>
  <c r="K27" i="4"/>
  <c r="AI27" i="4"/>
  <c r="BC13" i="2"/>
  <c r="Q27" i="4"/>
  <c r="AC17" i="4"/>
  <c r="AC27" i="4"/>
  <c r="K7" i="4"/>
  <c r="AC7" i="4"/>
  <c r="Q37" i="4"/>
  <c r="W7" i="4"/>
  <c r="Q17" i="4"/>
  <c r="AC37" i="4"/>
  <c r="AI17" i="4"/>
  <c r="AI7" i="4"/>
  <c r="W37" i="4"/>
  <c r="W17" i="4"/>
  <c r="AI37" i="4"/>
  <c r="AC47" i="4"/>
  <c r="W27" i="4"/>
  <c r="K17" i="4"/>
  <c r="Q7" i="4"/>
  <c r="K37" i="4"/>
  <c r="AI47" i="4"/>
  <c r="P16" i="4"/>
  <c r="AB26" i="4"/>
  <c r="V6" i="4"/>
  <c r="AH36" i="4"/>
  <c r="J26" i="4"/>
  <c r="AH46" i="4"/>
  <c r="V16" i="4"/>
  <c r="AH6" i="4"/>
  <c r="P26" i="4"/>
  <c r="V46" i="4"/>
  <c r="P46" i="4"/>
  <c r="BC10" i="2"/>
  <c r="J6" i="4"/>
  <c r="AH26" i="4"/>
  <c r="J36" i="4"/>
  <c r="AB36" i="4"/>
  <c r="AB6" i="4"/>
  <c r="V26" i="4"/>
  <c r="J16" i="4"/>
  <c r="AB16" i="4"/>
  <c r="V36" i="4"/>
  <c r="P36" i="4"/>
  <c r="BA11" i="2"/>
  <c r="BA94" i="2" l="1"/>
  <c r="BC94" i="2" s="1"/>
  <c r="BB95" i="2"/>
  <c r="BB97" i="2" s="1"/>
  <c r="BA97" i="2" s="1"/>
  <c r="BC97" i="2" s="1"/>
  <c r="BA66" i="2"/>
  <c r="BC66" i="2" s="1"/>
  <c r="BB67" i="2"/>
  <c r="BA62" i="2"/>
  <c r="BC62" i="2" s="1"/>
  <c r="BB63" i="2"/>
  <c r="BA63" i="2" s="1"/>
  <c r="BC63" i="2" s="1"/>
  <c r="BB28" i="2"/>
  <c r="BA28" i="2" s="1"/>
  <c r="BC28" i="2" s="1"/>
  <c r="BA50" i="2"/>
  <c r="BC50" i="2" s="1"/>
  <c r="BB51" i="2"/>
  <c r="BA34" i="2"/>
  <c r="BC34" i="2" s="1"/>
  <c r="BB35" i="2"/>
  <c r="BA35" i="2" s="1"/>
  <c r="BC35" i="2" s="1"/>
  <c r="P55" i="4"/>
  <c r="AH25" i="4"/>
  <c r="AB25" i="4"/>
  <c r="V55" i="4"/>
  <c r="AB45" i="4"/>
  <c r="AH35" i="4"/>
  <c r="AH55" i="4"/>
  <c r="J25" i="4"/>
  <c r="BC25" i="2"/>
  <c r="V25" i="4"/>
  <c r="J45" i="4"/>
  <c r="P45" i="4"/>
  <c r="P15" i="4"/>
  <c r="P25" i="4"/>
  <c r="AB15" i="4"/>
  <c r="AB55" i="4"/>
  <c r="V15" i="4"/>
  <c r="J55" i="4"/>
  <c r="J15" i="4"/>
  <c r="AH45" i="4"/>
  <c r="V45" i="4"/>
  <c r="V35" i="4"/>
  <c r="P35" i="4"/>
  <c r="AH15" i="4"/>
  <c r="AB35" i="4"/>
  <c r="P34" i="4"/>
  <c r="P44" i="4"/>
  <c r="AB44" i="4"/>
  <c r="J34" i="4"/>
  <c r="P14" i="4"/>
  <c r="AH14" i="4"/>
  <c r="J54" i="4"/>
  <c r="AB54" i="4"/>
  <c r="J14" i="4"/>
  <c r="J44" i="4"/>
  <c r="V34" i="4"/>
  <c r="V54" i="4"/>
  <c r="AB34" i="4"/>
  <c r="AH24" i="4"/>
  <c r="V44" i="4"/>
  <c r="P24" i="4"/>
  <c r="P54" i="4"/>
  <c r="AH44" i="4"/>
  <c r="V24" i="4"/>
  <c r="BC24" i="2"/>
  <c r="J24" i="4"/>
  <c r="AH54" i="4"/>
  <c r="V14" i="4"/>
  <c r="AH34" i="4"/>
  <c r="AB14" i="4"/>
  <c r="AI45" i="4"/>
  <c r="Q35" i="4"/>
  <c r="AC15" i="4"/>
  <c r="AC45" i="4"/>
  <c r="AC55" i="4"/>
  <c r="W25" i="4"/>
  <c r="K55" i="4"/>
  <c r="AC25" i="4"/>
  <c r="W15" i="4"/>
  <c r="K15" i="4"/>
  <c r="K35" i="4"/>
  <c r="AI25" i="4"/>
  <c r="W55" i="4"/>
  <c r="K45" i="4"/>
  <c r="AI35" i="4"/>
  <c r="K25" i="4"/>
  <c r="Q55" i="4"/>
  <c r="AI15" i="4"/>
  <c r="BC26" i="2"/>
  <c r="W45" i="4"/>
  <c r="Q25" i="4"/>
  <c r="Q15" i="4"/>
  <c r="AC35" i="4"/>
  <c r="Q45" i="4"/>
  <c r="W35" i="4"/>
  <c r="AI55" i="4"/>
  <c r="AH31" i="4"/>
  <c r="J31" i="4"/>
  <c r="P51" i="4"/>
  <c r="V31" i="4"/>
  <c r="AB41" i="4"/>
  <c r="P21" i="4"/>
  <c r="P31" i="4"/>
  <c r="J11" i="4"/>
  <c r="AH21" i="4"/>
  <c r="V11" i="4"/>
  <c r="BC19" i="2"/>
  <c r="AH11" i="4"/>
  <c r="P41" i="4"/>
  <c r="J41" i="4"/>
  <c r="V51" i="4"/>
  <c r="AH41" i="4"/>
  <c r="P11" i="4"/>
  <c r="V21" i="4"/>
  <c r="AB21" i="4"/>
  <c r="J21" i="4"/>
  <c r="AB51" i="4"/>
  <c r="AB11" i="4"/>
  <c r="AB31" i="4"/>
  <c r="K52" i="4"/>
  <c r="BC22" i="2"/>
  <c r="K32" i="4"/>
  <c r="AI22" i="4"/>
  <c r="AC52" i="4"/>
  <c r="W22" i="4"/>
  <c r="Q12" i="4"/>
  <c r="K12" i="4"/>
  <c r="Q32" i="4"/>
  <c r="AC42" i="4"/>
  <c r="K22" i="4"/>
  <c r="W32" i="4"/>
  <c r="W52" i="4"/>
  <c r="AI12" i="4"/>
  <c r="Q42" i="4"/>
  <c r="AI42" i="4"/>
  <c r="AC32" i="4"/>
  <c r="W42" i="4"/>
  <c r="Q22" i="4"/>
  <c r="K42" i="4"/>
  <c r="AI32" i="4"/>
  <c r="AI52" i="4"/>
  <c r="AC12" i="4"/>
  <c r="AC22" i="4"/>
  <c r="Q52" i="4"/>
  <c r="W12" i="4"/>
  <c r="J51" i="4"/>
  <c r="AH51" i="4"/>
  <c r="AH30" i="4"/>
  <c r="P10" i="4"/>
  <c r="AB10" i="4"/>
  <c r="BC18" i="2"/>
  <c r="J10" i="4"/>
  <c r="P20" i="4"/>
  <c r="J20" i="4"/>
  <c r="J30" i="4"/>
  <c r="AH10" i="4"/>
  <c r="J50" i="4"/>
  <c r="V30" i="4"/>
  <c r="AB30" i="4"/>
  <c r="P50" i="4"/>
  <c r="V10" i="4"/>
  <c r="AB20" i="4"/>
  <c r="V40" i="4"/>
  <c r="P40" i="4"/>
  <c r="AB50" i="4"/>
  <c r="P30" i="4"/>
  <c r="AH20" i="4"/>
  <c r="V50" i="4"/>
  <c r="AH40" i="4"/>
  <c r="J40" i="4"/>
  <c r="AB40" i="4"/>
  <c r="V20" i="4"/>
  <c r="W41" i="4"/>
  <c r="Q21" i="4"/>
  <c r="W31" i="4"/>
  <c r="K51" i="4"/>
  <c r="AC11" i="4"/>
  <c r="AI21" i="4"/>
  <c r="Q31" i="4"/>
  <c r="W51" i="4"/>
  <c r="AI51" i="4"/>
  <c r="K41" i="4"/>
  <c r="Q11" i="4"/>
  <c r="K21" i="4"/>
  <c r="AC51" i="4"/>
  <c r="Q51" i="4"/>
  <c r="K31" i="4"/>
  <c r="BC20" i="2"/>
  <c r="W11" i="4"/>
  <c r="AC21" i="4"/>
  <c r="K11" i="4"/>
  <c r="AC41" i="4"/>
  <c r="AI31" i="4"/>
  <c r="W21" i="4"/>
  <c r="Q41" i="4"/>
  <c r="AC31" i="4"/>
  <c r="AI11" i="4"/>
  <c r="AI41" i="4"/>
  <c r="AH9" i="4"/>
  <c r="AH19" i="4"/>
  <c r="AH49" i="4"/>
  <c r="AB29" i="4"/>
  <c r="V39" i="4"/>
  <c r="J19" i="4"/>
  <c r="AB9" i="4"/>
  <c r="V49" i="4"/>
  <c r="P19" i="4"/>
  <c r="BC15" i="2"/>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BC17" i="2"/>
  <c r="L29" i="4"/>
  <c r="L49" i="4"/>
  <c r="R49" i="4"/>
  <c r="AJ49" i="4"/>
  <c r="R29" i="4"/>
  <c r="L19" i="4"/>
  <c r="L39" i="4"/>
  <c r="R19" i="4"/>
  <c r="X49" i="4"/>
  <c r="X29" i="4"/>
  <c r="W29" i="4"/>
  <c r="K39" i="4"/>
  <c r="K49" i="4"/>
  <c r="AI49" i="4"/>
  <c r="W39" i="4"/>
  <c r="W9" i="4"/>
  <c r="AI29" i="4"/>
  <c r="Q19" i="4"/>
  <c r="W49" i="4"/>
  <c r="AC29" i="4"/>
  <c r="Q39" i="4"/>
  <c r="AC9" i="4"/>
  <c r="K9" i="4"/>
  <c r="AC19" i="4"/>
  <c r="BC16" i="2"/>
  <c r="AI19" i="4"/>
  <c r="Q49" i="4"/>
  <c r="AI39" i="4"/>
  <c r="AC49" i="4"/>
  <c r="K29" i="4"/>
  <c r="Q29" i="4"/>
  <c r="AI9" i="4"/>
  <c r="K19" i="4"/>
  <c r="W19" i="4"/>
  <c r="AC39" i="4"/>
  <c r="Q9" i="4"/>
  <c r="AK47" i="4"/>
  <c r="AE47" i="4"/>
  <c r="AK27" i="4"/>
  <c r="S7" i="4"/>
  <c r="M37" i="4"/>
  <c r="Y17" i="4"/>
  <c r="M7" i="4"/>
  <c r="AK7" i="4"/>
  <c r="AE37" i="4"/>
  <c r="Y37" i="4"/>
  <c r="S17" i="4"/>
  <c r="AE27" i="4"/>
  <c r="M47" i="4"/>
  <c r="S27" i="4"/>
  <c r="S47" i="4"/>
  <c r="AK37" i="4"/>
  <c r="M27" i="4"/>
  <c r="Y7" i="4"/>
  <c r="Y27" i="4"/>
  <c r="AE17" i="4"/>
  <c r="Y47" i="4"/>
  <c r="AK17" i="4"/>
  <c r="M17" i="4"/>
  <c r="S37" i="4"/>
  <c r="AE7" i="4"/>
  <c r="X27" i="4"/>
  <c r="X37" i="4"/>
  <c r="X7" i="4"/>
  <c r="R7" i="4"/>
  <c r="X47" i="4"/>
  <c r="AJ17" i="4"/>
  <c r="R37" i="4"/>
  <c r="AJ7" i="4"/>
  <c r="R47" i="4"/>
  <c r="AD7" i="4"/>
  <c r="AD47" i="4"/>
  <c r="L47" i="4"/>
  <c r="AJ37" i="4"/>
  <c r="R17" i="4"/>
  <c r="L7" i="4"/>
  <c r="L17" i="4"/>
  <c r="AJ27" i="4"/>
  <c r="AD37" i="4"/>
  <c r="AD17" i="4"/>
  <c r="AD27" i="4"/>
  <c r="X17" i="4"/>
  <c r="L37" i="4"/>
  <c r="R27" i="4"/>
  <c r="L27" i="4"/>
  <c r="AJ47" i="4"/>
  <c r="W46" i="4"/>
  <c r="K46" i="4"/>
  <c r="AI26" i="4"/>
  <c r="W6" i="4"/>
  <c r="AC16" i="4"/>
  <c r="AC26" i="4"/>
  <c r="Q46" i="4"/>
  <c r="AI16" i="4"/>
  <c r="AI36" i="4"/>
  <c r="AC46" i="4"/>
  <c r="W26" i="4"/>
  <c r="K6" i="4"/>
  <c r="W16" i="4"/>
  <c r="Q16" i="4"/>
  <c r="K36" i="4"/>
  <c r="AI6" i="4"/>
  <c r="BC11" i="2"/>
  <c r="AI46" i="4"/>
  <c r="W36" i="4"/>
  <c r="Q36" i="4"/>
  <c r="K26" i="4"/>
  <c r="Q26" i="4"/>
  <c r="AC6" i="4"/>
  <c r="K16" i="4"/>
  <c r="AC36" i="4"/>
  <c r="Q6" i="4"/>
  <c r="BA95" i="2" l="1"/>
  <c r="BC95" i="2" s="1"/>
  <c r="BB96" i="2"/>
  <c r="BA96" i="2" s="1"/>
  <c r="BC96" i="2" s="1"/>
  <c r="BA67" i="2"/>
  <c r="BC67" i="2" s="1"/>
  <c r="BB68" i="2"/>
  <c r="BA68" i="2" s="1"/>
  <c r="BC68" i="2" s="1"/>
  <c r="BA51" i="2"/>
  <c r="BC51" i="2" s="1"/>
  <c r="BB52" i="2"/>
  <c r="BA52" i="2" s="1"/>
  <c r="BC52" i="2" s="1"/>
  <c r="Y46" i="4"/>
  <c r="S36" i="4"/>
  <c r="Y36" i="4"/>
  <c r="S6" i="4"/>
  <c r="AK36" i="4"/>
  <c r="M6" i="4"/>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alcChain>
</file>

<file path=xl/sharedStrings.xml><?xml version="1.0" encoding="utf-8"?>
<sst xmlns="http://schemas.openxmlformats.org/spreadsheetml/2006/main" count="1714" uniqueCount="631">
  <si>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</si>
  <si>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</si>
  <si>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</si>
  <si>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</si>
  <si>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</si>
  <si>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</si>
  <si>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</si>
  <si>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</si>
  <si>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</si>
  <si>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</si>
  <si>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</si>
  <si>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</si>
  <si>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</si>
  <si>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</si>
  <si>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</si>
  <si>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</si>
  <si>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</si>
  <si>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</si>
  <si>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</si>
  <si>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</si>
  <si>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</si>
  <si>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</si>
  <si>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</si>
  <si>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</si>
  <si>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</si>
  <si>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</si>
  <si>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</si>
  <si>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</si>
  <si>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</si>
  <si>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</si>
  <si>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</si>
  <si>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</si>
  <si>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</si>
  <si>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</si>
  <si>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</si>
  <si>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</si>
  <si>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</si>
  <si>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</si>
  <si>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</si>
  <si>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</si>
  <si>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</si>
  <si>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</si>
  <si>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</si>
  <si>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</si>
  <si>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</si>
  <si>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</si>
  <si>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</si>
  <si>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</si>
  <si>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</si>
  <si>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</si>
  <si>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</si>
  <si>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</si>
  <si>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</si>
  <si>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</si>
  <si>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</si>
  <si>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</si>
  <si>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</si>
  <si>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</si>
  <si>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</si>
  <si>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</si>
  <si>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</si>
  <si>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Proceso:</t>
  </si>
  <si>
    <t>Objetivo:</t>
  </si>
  <si>
    <t>Alcance:</t>
  </si>
  <si>
    <t>Identificación del riesgo</t>
  </si>
  <si>
    <t>Análisis del riesgo inherente</t>
  </si>
  <si>
    <t>Evaluación del riesgo - Valoración de los controles</t>
  </si>
  <si>
    <t>Evaluación del riesgo - Nivel del riesgo residual</t>
  </si>
  <si>
    <t>Plan de Acción</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</si>
  <si>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</si>
  <si>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</si>
  <si>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</si>
  <si>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</si>
  <si>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</si>
  <si>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</si>
  <si>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</si>
  <si>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</si>
  <si>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</si>
  <si>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</si>
  <si>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</si>
  <si>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</si>
  <si>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</si>
  <si>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</si>
  <si>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</si>
  <si>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</si>
  <si>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</si>
  <si>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</si>
  <si>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</si>
  <si>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</si>
  <si>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r>
      <rPr>
        <b/>
        <sz val="11"/>
        <color rgb="FFE36C09"/>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</si>
  <si>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</si>
  <si>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</si>
  <si>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</si>
  <si>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</si>
  <si>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</si>
  <si>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</si>
  <si>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</si>
  <si>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</si>
  <si>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</si>
  <si>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</si>
  <si>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</si>
  <si>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</si>
  <si>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</si>
  <si>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</si>
  <si>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</si>
  <si>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</si>
  <si>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</si>
  <si>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</si>
  <si>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</si>
  <si>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</si>
  <si>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</si>
  <si>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</si>
  <si>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</si>
  <si>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</si>
  <si>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</si>
  <si>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</si>
  <si>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</si>
  <si>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</si>
  <si>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</si>
  <si>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</si>
  <si>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</si>
  <si>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</si>
  <si>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</si>
  <si>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</si>
  <si>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</si>
  <si>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</si>
  <si>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</si>
  <si>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</si>
  <si>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</si>
  <si>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</si>
  <si>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</si>
  <si>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</si>
  <si>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</si>
  <si>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</si>
  <si>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</si>
  <si>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</si>
  <si>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</si>
  <si>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</si>
  <si>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</si>
  <si>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</si>
  <si>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</si>
  <si>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</si>
  <si>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</si>
  <si>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</si>
  <si>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</si>
  <si>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</si>
  <si>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</si>
  <si>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</si>
  <si>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</si>
  <si>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</si>
  <si>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</si>
  <si>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</si>
  <si>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</si>
  <si>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</si>
  <si>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</si>
  <si>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</si>
  <si>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</si>
  <si>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</si>
  <si>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</si>
  <si>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</si>
  <si>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</si>
  <si>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</si>
  <si>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</si>
  <si>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</si>
  <si>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</si>
  <si>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</si>
  <si>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</si>
  <si>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</si>
  <si>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</si>
  <si>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</si>
  <si>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</si>
  <si>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</si>
  <si>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</si>
  <si>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</si>
  <si>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</si>
  <si>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</si>
  <si>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</si>
  <si>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</si>
  <si>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</si>
  <si>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</si>
  <si>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</si>
  <si>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</si>
  <si>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</si>
  <si>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</si>
  <si>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</si>
  <si>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</si>
  <si>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</si>
  <si>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</si>
  <si>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</si>
  <si>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</si>
  <si>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</si>
  <si>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</si>
  <si>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</si>
  <si>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</si>
  <si>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</si>
  <si>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</si>
  <si>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</si>
  <si>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</si>
  <si>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</si>
  <si>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</si>
  <si>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</si>
  <si>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</si>
  <si>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</si>
  <si>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</si>
  <si>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</si>
  <si>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</si>
  <si>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</si>
  <si>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</si>
  <si>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</si>
  <si>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</si>
  <si>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</si>
  <si>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MAPA DE RIESGOS DE GESTIÓN DE LA SSF</t>
  </si>
  <si>
    <t>Tipo de Riesgo</t>
  </si>
  <si>
    <t>Activo de información</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</si>
  <si>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</si>
  <si>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</si>
  <si>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</si>
  <si>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</si>
  <si>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</si>
  <si>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</si>
  <si>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</si>
  <si>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</si>
  <si>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</si>
  <si>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</si>
  <si>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</si>
  <si>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</si>
  <si>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</si>
  <si>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</si>
  <si>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</si>
  <si>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</si>
  <si>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</si>
  <si>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</si>
  <si>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</si>
  <si>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</si>
  <si>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</si>
  <si>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</si>
  <si>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</si>
  <si>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</si>
  <si>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</si>
  <si>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</si>
  <si>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</si>
  <si>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</si>
  <si>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</si>
  <si>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</si>
  <si>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</si>
  <si>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</si>
  <si>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</si>
  <si>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</si>
  <si>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</si>
  <si>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</si>
  <si>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</si>
  <si>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</si>
  <si>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</si>
  <si>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</si>
  <si>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</si>
  <si>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</si>
  <si>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</si>
  <si>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</si>
  <si>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</si>
  <si>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</si>
  <si>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</si>
  <si>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</si>
  <si>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</si>
  <si>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</si>
  <si>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</si>
  <si>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</si>
  <si>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</si>
  <si>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</si>
  <si>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</si>
  <si>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</si>
  <si>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</si>
  <si>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</si>
  <si>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</si>
  <si>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</si>
  <si>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</si>
  <si>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</si>
  <si>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</si>
  <si>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</si>
  <si>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</si>
  <si>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</si>
  <si>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</si>
  <si>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</si>
  <si>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</si>
  <si>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</si>
  <si>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</si>
  <si>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</si>
  <si>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</si>
  <si>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</si>
  <si>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</si>
  <si>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</si>
  <si>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</si>
  <si>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</si>
  <si>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</si>
  <si>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</si>
  <si>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</si>
  <si>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</si>
  <si>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</si>
  <si>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</si>
  <si>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</si>
  <si>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</si>
  <si>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</si>
  <si>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</si>
  <si>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</si>
  <si>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</si>
  <si>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</si>
  <si>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</si>
  <si>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</si>
  <si>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</si>
  <si>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</si>
  <si>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</si>
  <si>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</si>
  <si>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</si>
  <si>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</si>
  <si>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</si>
  <si>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</si>
  <si>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</si>
  <si>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</si>
  <si>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</si>
  <si>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</si>
  <si>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</si>
  <si>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</si>
  <si>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</si>
  <si>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</si>
  <si>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</si>
  <si>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</si>
  <si>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</si>
  <si>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</si>
  <si>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</si>
  <si>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</si>
  <si>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</si>
  <si>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</si>
  <si>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</si>
  <si>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</si>
  <si>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</si>
  <si>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</si>
  <si>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</si>
  <si>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</si>
  <si>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</si>
  <si>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</si>
  <si>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</si>
  <si>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</si>
  <si>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</si>
  <si>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</si>
  <si>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</si>
  <si>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</si>
  <si>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</si>
  <si>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</si>
  <si>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</si>
  <si>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</si>
  <si>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</si>
  <si>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</si>
  <si>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</si>
  <si>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</si>
  <si>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</si>
  <si>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</si>
  <si>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</si>
  <si>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</si>
  <si>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</si>
  <si>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</si>
  <si>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</si>
  <si>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</si>
  <si>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</si>
  <si>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</si>
  <si>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</si>
  <si>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</si>
  <si>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</si>
  <si>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</si>
  <si>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</si>
  <si>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</si>
  <si>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</si>
  <si>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</si>
  <si>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</si>
  <si>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</si>
  <si>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</si>
  <si>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</si>
  <si>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</si>
  <si>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</si>
  <si>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</si>
  <si>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</si>
  <si>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</si>
  <si>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</si>
  <si>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</si>
  <si>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</si>
  <si>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</si>
  <si>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</si>
  <si>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</si>
  <si>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</si>
  <si>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</si>
  <si>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</si>
  <si>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</si>
  <si>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</si>
  <si>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</si>
  <si>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</si>
  <si>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</si>
  <si>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</si>
  <si>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</si>
  <si>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</si>
  <si>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Procesos</t>
  </si>
  <si>
    <t>ALMACEN E INVENTARIOS</t>
  </si>
  <si>
    <t>COMUNICACIÓN PÚBLICA</t>
  </si>
  <si>
    <t>CONTRATACIÓN ADMINISTRATIVA</t>
  </si>
  <si>
    <t>CONTROL FINANCIERO Y CONTABLE DE LAS CCF</t>
  </si>
  <si>
    <t>CONTROL LEGAL DE LAS CCF</t>
  </si>
  <si>
    <t>DIRECCIONAMIENTO ESTRATÉGICO</t>
  </si>
  <si>
    <t>ESTUDIOS ESPECIALES Y EVALUACIÓN DE PROYECTOS</t>
  </si>
  <si>
    <t>EVALUACIÓN DE GESTIÓN DE CAJAS DE COMPENSACIÓN FAMILIAR</t>
  </si>
  <si>
    <t>EVALUACIÓN Y CONTROL</t>
  </si>
  <si>
    <t>GENERACIÓN ESTADÍSTICA GENERAL DEL SISTEMA DEL SUBSIDIO FAMILIAR</t>
  </si>
  <si>
    <t xml:space="preserve">GESTIÓN DE RECURSOS FÍSICOS </t>
  </si>
  <si>
    <t>GESTIÓN DE SISTEMAS DE INFORMACIÓN</t>
  </si>
  <si>
    <t>GESTION DEL TALENTO HUMANO</t>
  </si>
  <si>
    <t>GESTIÓN DOCUMENTAL</t>
  </si>
  <si>
    <t>GESTIÓN FINANCIERA Y PRESUPUESTAL</t>
  </si>
  <si>
    <t>GESTIÓN JURÍDICA</t>
  </si>
  <si>
    <t>INTERACCION CON EL CIUDADANO</t>
  </si>
  <si>
    <t>NOTIFICACIONES Y CERTIFICACIONES</t>
  </si>
  <si>
    <t>PLANEACIÓN INSTITUCIONAL</t>
  </si>
  <si>
    <t>PROCESOS DISCIPLINARIOS</t>
  </si>
  <si>
    <t>VISITAS A ENTES VIGILIADOS</t>
  </si>
  <si>
    <t>No  lograr la implementación de un sistema de alertas tempranas que permita detectar riesgos materiales basado en un modelo de IVC preventivo,</t>
  </si>
  <si>
    <t>Fiscal</t>
  </si>
  <si>
    <t>Plan anual de visitas</t>
  </si>
  <si>
    <t>No lograr aumentar  la cobertura de beneficiarios del subsidio familiar</t>
  </si>
  <si>
    <t>No lograr la identificación y la integración de los actores del sistema de subsidio familiar</t>
  </si>
  <si>
    <t>Comité Asesor de Política Pública</t>
  </si>
  <si>
    <t>Seguimiento a las estadísticas del SSF</t>
  </si>
  <si>
    <t>No implementar el plan estratégico de tecnologías de la información</t>
  </si>
  <si>
    <t>Seguimiento a la implementación del PETI</t>
  </si>
  <si>
    <t xml:space="preserve">Debilidades en los lineamientos para la implementación y mantenimiento del sistema de gestión de calidad
</t>
  </si>
  <si>
    <t>Auditorias internas al sistema de gestión</t>
  </si>
  <si>
    <t>Incumplimiento de Plan Institucional de Capacitaciones</t>
  </si>
  <si>
    <t>Debilidades en la planeación , deficiente diagnóstico de las necesidades,</t>
  </si>
  <si>
    <t>Seguimiento al cumplimiento del plan institucional de capacitaciones</t>
  </si>
  <si>
    <t>PLANEACÓN INSTITUCIONAL</t>
  </si>
  <si>
    <t>Falta de oportunidad en  la asesoría para la planeación institucional  y la  implementación del MIPG.</t>
  </si>
  <si>
    <t>Desconocimiento  o no aplicación  de los lineamientos, necesidades institucionales y marco legal para la formulación de planes, programas y proyectos por parte de las personas del proceso de Planeación Institucional</t>
  </si>
  <si>
    <t>El profesional de la OAP realiza  el seguimiento a la ejecución de las actividades de acompañamiento a través de la verificación del cumplimiento del  cronograma de informes y actividades de la Oficina Asesora de Planeación</t>
  </si>
  <si>
    <t>El profesional de la OAP realiza  el seguimiento a la ejecución de los proyectos de inversión a través de la verificación de los archivos de los proyectos de inversión</t>
  </si>
  <si>
    <t>GESTIÓN ESTADÍSTICA GENERAL DEL SISTEMA DEL SUBSIDIO FAMILIAR</t>
  </si>
  <si>
    <t>Entrega de los productos estadísticos por fuera de los plazos establecidos según cronograma anual  de publicaciones estadísticas de la SSF</t>
  </si>
  <si>
    <t>Falta de oportunidad en el reporte de la información por parte de las CCF para la elaboración de los productos estadísticos 
Demoras en el procesamiento interno de la información</t>
  </si>
  <si>
    <t>El profesional  de la  Delegada realiza seguimiento al cumplimiento del  cronograma de la operación estadística</t>
  </si>
  <si>
    <t>Generación de reporte de la información cargada por las CCF</t>
  </si>
  <si>
    <t>Actualizar el formato de calendario de difusión para incluir una columna de seguimiento.</t>
  </si>
  <si>
    <t>Profesional especializado</t>
  </si>
  <si>
    <t>Generación de información estadística sin la confiabilidad, credibilidad y comparabilidad esperada</t>
  </si>
  <si>
    <t>El profesional de la Delegada realiza la verificación y estrategias para monitorear y evaluar el proceso estadístico</t>
  </si>
  <si>
    <t>Pérdida de oportunidad en tiempos de respuesta para atender las necesidades de comunicación de la entidad</t>
  </si>
  <si>
    <t>Insuficiente personal para la ejecución de las actividades de comunicación</t>
  </si>
  <si>
    <t>Incluir en el procedimiento la validación de los tiempos de respuesta a las solicitudes realizadas.</t>
  </si>
  <si>
    <t>CONTROL FINANCIERO Y CONTABLE</t>
  </si>
  <si>
    <t>Baja Confiabilidad de los informes financieros y contables de las  CCF</t>
  </si>
  <si>
    <t>Errores u omisión en la información financiera y contable suministrada por las CCF; emisión  reglamentación y fijación de directrices sobre temas financieros y contables sin la confiabilidad y razonabilidad requerida</t>
  </si>
  <si>
    <t>El Profesional Especializado verifica  la veracidad y confiabilidad de la información remitida de las CCF  y sus referentes normativos y técnicos  para la emisión de las directrices.</t>
  </si>
  <si>
    <t>El Director de Gestión Financiera y Contable  revisa, valida y da visto bueno de los actos administrativos en los aspectos financieros y contables para ser remitido a la aprobación final por parte de la alta dirección.</t>
  </si>
  <si>
    <t>Emisión de Informes de análisis a la situación financiera sin la capacidad técnica y oportuna  que permitan generar seguimiento adecuado a la situación financiera y contable de las CCF</t>
  </si>
  <si>
    <t xml:space="preserve">Baja confiabilidad de la información financiera y contable suministrada por las CCF,  Las estructuras de la herramienta de información SIGER, genere información errada, Debilidades en la conceptualización técnica de los funcionarios del área, Demora en las revisiones y vistos buenos por parte de los directores y delegado, Exceso de carga laboral
</t>
  </si>
  <si>
    <t>EVALUACIÓN DE LA GESTIÓN DE LAS CCF</t>
  </si>
  <si>
    <t>Perdida de oportunidad en la emisión de informes de análisis a la gestión</t>
  </si>
  <si>
    <t>Seguimiento oportuno a la ejecución del cronograma para evitar demoras en la elaboración, las  revisiones y vistos buenos respectivos.</t>
  </si>
  <si>
    <t>Perdida de confiabilidad en la emisión de informes de gestión de las CCF.</t>
  </si>
  <si>
    <t>Revisión de la información reportada por las CCF en el SIMON, conforme a lo establecido en la Circular Externa Vigente.</t>
  </si>
  <si>
    <t>VISITA A ENTES VIGILADOS</t>
  </si>
  <si>
    <t>Remisión de informes por fuera de los términos establecidos
Demora en las revisiones y vistos buenos por parte de los Directores y Delegado
Exceso de carga laboral Comisionados que no cuenten con las competencias técnicas necesarias para la realización de las visitas.</t>
  </si>
  <si>
    <t>Revisión del plan de trabajo para la realización de las visitas</t>
  </si>
  <si>
    <t>Revisar la conformación de equipos interdisciplinarios de acuerdo con las competencias requeridas para la realización de las visitas.</t>
  </si>
  <si>
    <t>Revisar y aprobar  los informes de visita de acuerdo con la resolución de programación y ejecución de visitas ordinarias vigente</t>
  </si>
  <si>
    <t>Incumplimiento al Plan Anual de visitas  de IVC</t>
  </si>
  <si>
    <t>Implementación de políticas de austeridad en el gasto
Recurso humano insuficiente para el desarrollo de las Visitas Ordinarias
Eventos que dificulten la realización de visitas presenciales a las CCF</t>
  </si>
  <si>
    <t>Verificación de la alineación del plan anual de visitas con los objetivos institucionales</t>
  </si>
  <si>
    <t>Seguimiento a la ejecución del Plan Anual de Visitas</t>
  </si>
  <si>
    <t>Aprobación de ajustes y reprogramación de visitas ordinarias en la vigencia</t>
  </si>
  <si>
    <t>Ineficacia en el seguimiento a los planes de mejoramiento producto de las visitas ordinarias</t>
  </si>
  <si>
    <t>Remisión de informes por fuera de los términos establecidos
Demora en las revisiones y vistos buenos por parte de los Directores y Delegado
Exceso de carga laboral</t>
  </si>
  <si>
    <t>Revisión y aprobación de los informes de seguimiento a los planes de mejoramiento</t>
  </si>
  <si>
    <t>Emisión de informes de seguimiento sobre programas o proyectos de inversión sin considerar los aspectos sociales y técnicos</t>
  </si>
  <si>
    <t>Omisión en la aplicación de los requisitos de la circular vigente y desconocimiento de la normatividad vigente</t>
  </si>
  <si>
    <t>Revisión a través de listas de chequeos incluidas en los formatos de los procedimientos</t>
  </si>
  <si>
    <t>Revisión de los informes y reportes que genera la delegada</t>
  </si>
  <si>
    <t>Perdida de confiabilidad y pertinencia en los resultados de los estudios especiales</t>
  </si>
  <si>
    <t>Inobservancia a la rigurosidad metodológica y Desconocimiento de la normatividad vigente</t>
  </si>
  <si>
    <t>Realizar la supervisión a los contratos de estudios especiales</t>
  </si>
  <si>
    <t xml:space="preserve">Verificar que los estudios especiales desarrollen una metodología de investigación </t>
  </si>
  <si>
    <t>Insuficiencia  de personal (TR) y debilidades en el seguimiento a los tiempos para la entrega del informe</t>
  </si>
  <si>
    <t xml:space="preserve">Seguimiento a los cumplimiento de los tiempos de entrega del informe final </t>
  </si>
  <si>
    <t>Revisión del informe para asegurar la completitud de la información</t>
  </si>
  <si>
    <t>Completar informes devueltos mediante la aplicación de las listas de chequeo</t>
  </si>
  <si>
    <t xml:space="preserve"> Errores o inconsistencias en los reportes del Limite máximo de inversión de las CCF.</t>
  </si>
  <si>
    <t xml:space="preserve">Debilidades en las verificaciones </t>
  </si>
  <si>
    <t>Extemporaneidad en el inicio de acciones,  adopción de decisiones y adelantamiento de trámites frente las actuaciones administrativas</t>
  </si>
  <si>
    <t>Envío de alertas tempranas sobre posibles caducidades por parte de los abogados sustanciadores de las actuaciones administrativas</t>
  </si>
  <si>
    <t>Priorización y seguimiento de trámites basado en la fecha de caducidad de la facultad sancionatoria</t>
  </si>
  <si>
    <t>Diseñar e implementar herramienta para el reporte matriz de asignación, seguimiento y control de correspondencia</t>
  </si>
  <si>
    <t>INTERACCIÓN CON EL CIUDADANO</t>
  </si>
  <si>
    <t>Posibles fallas de la funcionalidad en el software de gestión documental y debilidades en la asignación de los funcionarios que desarrollan las actividades del proceso.</t>
  </si>
  <si>
    <t>Seguimiento a las PQRSF en tramite que tiene cada gestor</t>
  </si>
  <si>
    <t>Reporte de incidentes en la plataforma de gestión documental  a TICs</t>
  </si>
  <si>
    <t>Incumplimiento de la proyección del área de TI de acuerdo a las necesidades de la entidad</t>
  </si>
  <si>
    <t>Debilidades en planeación del proceso de gestión de sistemas de información
Deficiencias en la priorización para la solicitud de recursos
 Recursos necesarios insuficiente
s
Deficiencias al seguimiento de las soluciones tecnológicas</t>
  </si>
  <si>
    <t>El Jefe de la Oficina de TI realiza la definición y el seguimiento a los Planes de TI</t>
  </si>
  <si>
    <t>El Jefe de la Oficina de TI realiza la evaluación de la proyección de los servicios de TI  de acuerdo con las  necesidades de las áreas de la entidad</t>
  </si>
  <si>
    <t>Perdida de los atributos de seguridad de la información</t>
  </si>
  <si>
    <t>Deficiencias en la planeación e implementación del SGSI
 Ausencia de mecanismos para evaluar la implementación, mantenimiento y mejora  del SGSI
Debilidades en las condiciones de seguridad de la información</t>
  </si>
  <si>
    <t xml:space="preserve"> El Jefe de la Oficina TIC realiza seguimiento de la ejecución de los recursos asignados para la implementación, mantenimiento y mejora del SGSI.</t>
  </si>
  <si>
    <t>El Jefe de la Oficina TIC realiza seguimiento  a la ejecución de las actividades para la actualización y mejora del SGSI</t>
  </si>
  <si>
    <t xml:space="preserve"> El Jefe de la Oficina TIC realiza verificación del cumplimiento de la normatividad vigente aplicable para el SGSI</t>
  </si>
  <si>
    <t xml:space="preserve"> El Jefe de la Oficina TIC  realiza verificación de la eficacia de los controles de seguridad y privacidad de la información</t>
  </si>
  <si>
    <t>Deficiencias en la calidad, oportunidad  y continuidad en el ciclo de vida de los servicios de TI</t>
  </si>
  <si>
    <t>Deficiente definición de los requerimientos del usuario.
Deficiente asignación o habilitación de recursos que soportan los servicios de TI
Debilidades en el seguimiento a la etapa implementación y puesta en servicio</t>
  </si>
  <si>
    <t>El Jefe de la Oficina de TI realiza seguimiento a la ejecución de los recursos asignados a la planeación  de los servicios de TI</t>
  </si>
  <si>
    <t>El Jefe de la Oficina de TI realiza seguimiento al indicador  del Plan Estratégico Institucional asociado a OTIC para evaluar su cumplimiento.</t>
  </si>
  <si>
    <t>El Jefe de la Oficina TIC realiza seguimiento a la ejecución de las fases de los proyectos de la Oficina para verificar su cumplimiento.</t>
  </si>
  <si>
    <t>El Líder Técnico realiza seguimiento a la ejecución de las fases de los desarrollos a cargo para verificar su cumplimiento.</t>
  </si>
  <si>
    <t>Inadecuado proceso de valoración documental que afecta los tiempos de retención.
.Ausencia del programa de preservación de documentos físico y electrónicos
Aplicación deficiente del Formato Único de Inventario Documental FUID por parte de las áreas de la entidad</t>
  </si>
  <si>
    <t>Perdida de la información de la entidad</t>
  </si>
  <si>
    <t>Realizar digitalización de la documentación</t>
  </si>
  <si>
    <t>Demoras en la ejecución de los procedimientos disciplinarios que ocasionen vencimiento en los términos de ley</t>
  </si>
  <si>
    <t>Indebida aplicación de las normas  sustantivas y procesales  modificatorias en las actuaciones disciplinarias,  incumplimiento de procedimientos internos,  Indebido recaudo probatorio e indebida sustanciación de las actuaciones disciplinarias</t>
  </si>
  <si>
    <t>Monitoreo periódico a vencimiento de términos y verificación de las investigaciones</t>
  </si>
  <si>
    <t>El Profesional Especializado  realiza la verificación de la existencia del expediente físico y digital producto del desarrollo de la investigación</t>
  </si>
  <si>
    <t>Formalizar la actividad del control en el procedimiento y formalizar matriz de seguimiento</t>
  </si>
  <si>
    <t>Coordinador(a)</t>
  </si>
  <si>
    <t>Adopción de decisiones contrarias frente a la situación objeto de conocimiento que conlleven a nulidad total o parcial  del proceso disciplinario</t>
  </si>
  <si>
    <t>Perdida  de confidencialidad con la divulgación del expediente procesal</t>
  </si>
  <si>
    <t xml:space="preserve">Indebida aplicación de las normas  procesales en las actuaciones disciplinarias </t>
  </si>
  <si>
    <t>Emisión extemporánea del entregable requerido</t>
  </si>
  <si>
    <t>Seguimiento a la oportunidad en las diferentes etapas del proceso a través de la matriz base de correspondencia</t>
  </si>
  <si>
    <t>Generación de alertas tempranas para prevenir la extemporaneidad</t>
  </si>
  <si>
    <t xml:space="preserve">Entregable de deficiente calidad </t>
  </si>
  <si>
    <t>Debilidades en la fundamentación jurídica del entregable</t>
  </si>
  <si>
    <t>Revisión de calidad del entregable</t>
  </si>
  <si>
    <t>Incumplimiento en el pago oportuno de las obligaciones de la entidad</t>
  </si>
  <si>
    <t>Incorrecta programación del PAC
Demoras en la recepción de la información requerida para el pago de las obligaciones
Falta de apropiación presupuestal requerida para financiar el pago de las obligaciones
Errores en el diligenciamiento de los formatos necesarios para el tramite de pagos
Falta en los soportes requeridos para el tramite de pago</t>
  </si>
  <si>
    <t>Generar alerta mediante envío de correo a las dependencias con las fechas que debe radicar los tramites para realizar los pagos</t>
  </si>
  <si>
    <t>Seguimiento al cronograma  de obligaciones tributarias</t>
  </si>
  <si>
    <t xml:space="preserve">Constitución inadecuada e inexacta de reservas presupuestales </t>
  </si>
  <si>
    <t>Deficiente supervisión de contratos
Demoras en el trámite de las actas de liquidación y de la no ejecución de contratos por parte del supervisor
Desconocimiento de las normas para las constitución de reservas por parte de los supervisores</t>
  </si>
  <si>
    <t>Inoportunidad en la radicación de los documentos para los pagos.
Inadecuado reporte de programación del PAC por parte de las dependencias</t>
  </si>
  <si>
    <t>Incumplimiento del PAC</t>
  </si>
  <si>
    <t>Seguimiento a la ejecución del PAC  solicitado por dependencia</t>
  </si>
  <si>
    <t>Análisis y depuración de las cuentas que componen los estados financieros</t>
  </si>
  <si>
    <t xml:space="preserve">Contratación de bienes y servicios no relacionados con las funciones de la Entidad y que no generan utilidad </t>
  </si>
  <si>
    <t>Verificación y ajustes por parte del abogado asignado a los documentos proyectados.</t>
  </si>
  <si>
    <t>GESTIÓN DE RECURSOS FÍSICOS</t>
  </si>
  <si>
    <t>Ineficiencia en la administración de los bienes y servicios requeridos por los procesos</t>
  </si>
  <si>
    <t>Planeación inoportuna para la adquisición de bienes y servicios en cada vigencia
inexistencia de bienes y servicios necesarios para el normal funcionamiento de la entidad, Demora en el desarrollo de la etapa precontractual y contractual de los bienes y servicio</t>
  </si>
  <si>
    <t>Realizar periódicamente seguimiento a los contratos de bienes y servicios</t>
  </si>
  <si>
    <t>Pérdida, extravío, hurto, robo o declaratoria de bienes faltantes pertenecientes a la Entidad</t>
  </si>
  <si>
    <t>Controles de ingreso y  salida de equipos y bienes</t>
  </si>
  <si>
    <t>Indebida notificación, comunicación o publicación de los Actos Administrativos de acuerdo con lo establecido en la normatividad</t>
  </si>
  <si>
    <t>.Falta de actualización de información de datos personales por las cajas.
.Error en la información registrada al enviar las notificaciones .
Falta de seguimiento a los términos una vez se envían las comunicaciones o notificaciones electrónicas
Vencimiento del contrato de correo certificado  físico y electrónico
Incumplimiento de entrega por parte del proveedor de correo certificado</t>
  </si>
  <si>
    <t xml:space="preserve">Monitorear las guías de control de correspondencia </t>
  </si>
  <si>
    <t>GESTIÓN DEL TALENTO HUMANO</t>
  </si>
  <si>
    <t>Deterioro de la calidad de vida de los funcionarios</t>
  </si>
  <si>
    <t>Seguimiento al plan de bienestar</t>
  </si>
  <si>
    <t>Seguimiento al plan de SG-SST</t>
  </si>
  <si>
    <t>Desalineación del recurso humano con la estrategia institucional</t>
  </si>
  <si>
    <t>Seguimiento a las actividades de socialización del código de integridad.</t>
  </si>
  <si>
    <t>Encuesta de evaluación del clima organizacional</t>
  </si>
  <si>
    <t>Seguimiento a la implementación de gestión del conocimiento</t>
  </si>
  <si>
    <t>Seguimiento a la entrega completa de los cargos</t>
  </si>
  <si>
    <t xml:space="preserve">Liquidación de nómina con errores en su cálculo y/o de manera extemporánea  </t>
  </si>
  <si>
    <t xml:space="preserve"> Fallas en parametrización, configuración  y funcionamiento del sistema que liquida la nómina.
Errores humanos en la liquidación de nómina
Indisponibilidad del sistema que liquida la nómina</t>
  </si>
  <si>
    <t>Revisiones previas de la liquidación de nómina</t>
  </si>
  <si>
    <t>Reporte por parte de financiera  sobre inconsistencias en la nomina</t>
  </si>
  <si>
    <t>Errores en la emisión de actos administrativos</t>
  </si>
  <si>
    <t>Debilidades en la ejecución de controles de los actos administrativos</t>
  </si>
  <si>
    <t>Revisión de los actos administrativos</t>
  </si>
  <si>
    <t>EVALUACIÓN  Y CONTROL</t>
  </si>
  <si>
    <t>Incumplimiento de informes y reportes de Ley</t>
  </si>
  <si>
    <t xml:space="preserve">Entrega de datos, reportes y/o información por parte de las dependencias de manera incompleta, imprecisa y/o inoportuna
Desconocimiento de los temas o tiempos de entrega de informes o reportes  por parte de los servidor público de la OCI   
Alto volumen de trabajo y no se cuenta con el personal suficiente </t>
  </si>
  <si>
    <t>Aprobación y Seguimiento del Cronograma del Plan de Trabajo de la oficina de la vigencia</t>
  </si>
  <si>
    <t>Solicitud y verificación del envío  de información a las áreas competentes para que remitan a la Oficina de Control Interno en los tiempos establecidos, con la calidad requerida</t>
  </si>
  <si>
    <t>Revisión de los informes finales y reportes finales</t>
  </si>
  <si>
    <t>Incumplimiento 
del Plan Anual de Auditorías Internas y Especiales</t>
  </si>
  <si>
    <t>Alto volumen de trabajo y no se cuenta con el personal suficiente 
Personal no idóneo para el cumplimiento de las actividades
Entrega de información por parte de las áreas responsables sin el cumplimiento en la oportunidad, veracidad y confiabilidad de la misma
Posibles  cambios no previstos que afecten la ejecución del plan o programa de auditorías</t>
  </si>
  <si>
    <t>Inadecuada planeación
Talento humano insuficiente
Ausencia de lineamentos claros
Disminución en  la  asignación presupuestal</t>
  </si>
  <si>
    <t>Comité de autocontrol y gestión del riesgo del SSF</t>
  </si>
  <si>
    <t>Debilidades en la planeación estratégica
Insuficiencias Presupuestal
Resistencia al cambio</t>
  </si>
  <si>
    <t xml:space="preserve">No lograr la actualización y articulación del modelo de operación por procesos de la entidad </t>
  </si>
  <si>
    <t>Revisión por la dirección</t>
  </si>
  <si>
    <t>Encuesta de satisfacción de los grupos de valor y partes interesadas</t>
  </si>
  <si>
    <t>Debilidad en la  aplicación de los criterios de calidad estadística durante la fase de análisis para generar los productos estadísticos y dar respuesta a las solicitudes de información.</t>
  </si>
  <si>
    <t>Validación  y estimación de los tiempos de ejecución para la solicitud de comunicación</t>
  </si>
  <si>
    <t>Demora en las revisiones y vistos buenos por parte del director(a)
Demoras asociadas a la realización del informe, las correcciones y validaciones de la información.
debilidades en el seguimiento al cumplimiento de fechas</t>
  </si>
  <si>
    <t>Inexactitud de la información reportada por las CCF y
Errores en la transcripción de la información para el informe</t>
  </si>
  <si>
    <t>Revisión  y validación de los informes de gestión y de informes de fondos de ley por parte del director(a)</t>
  </si>
  <si>
    <t xml:space="preserve">Realizar  y analizar el ejercicio del debido proceso de las CCF  para  las aclaraciones  en el informe que haya a lugar sobre el informe preliminar </t>
  </si>
  <si>
    <t>Control mediante la matriz de seguimiento de trazabilidad a las visitas e entes vigilados.</t>
  </si>
  <si>
    <t>Ejecución de póliza de cumplimiento en caso de que el contratista no cumpla con los criterios exigidos para los estudios</t>
  </si>
  <si>
    <t>Entrega de informes de visitas especiales incompletos y / o atemporales</t>
  </si>
  <si>
    <t>Inclusión de las estructuras del SIGER en el oficio</t>
  </si>
  <si>
    <t>Revisión de los oficios por parte del(a) Superintendente Delegado(a) Delegada</t>
  </si>
  <si>
    <t>Corrección de las inconsistencias encontradas en los reportes de LMI</t>
  </si>
  <si>
    <t>Aplicación de la lista de verificación de seguimiento a LMI</t>
  </si>
  <si>
    <t xml:space="preserve">Insuficiencia de recurso humano o recurso humano que no cumple con el perfil requerido
Alta rotación de funcionarios y contratistas
Demoras en la sustanciación de actos administrativos e impulso procesal de los trámites asignados.
Retraso procesal acumulado
</t>
  </si>
  <si>
    <t>Coordinador(a) grupo interno para la responsabilidad administrativa</t>
  </si>
  <si>
    <t>Respuesta dadas a los ciudadanos que incumplen los términos legales</t>
  </si>
  <si>
    <t>Solicitud de suspensión de términos.</t>
  </si>
  <si>
    <t>El Líder Técnico Soportes Servicios de TI  realiza seguimiento a los  Kepis y ANS de calidad y oportunidad del soporte a los servicios de TI</t>
  </si>
  <si>
    <t>Aplicación del formulario de préstamo y consulta de documentos</t>
  </si>
  <si>
    <t>Indebida aplicación de las normas  sustantivas y procesales  modificatorias en las actuaciones disciplinarias e incumplimiento de procedimientos internos, Indebido recaudo probatorio, indebida sustanciación de las actuaciones disciplinaria</t>
  </si>
  <si>
    <t>Los profesionales del grupo de control disciplinario proyectan, revisan y  aprueban las decisiones que deban ser tomadas en cada caso</t>
  </si>
  <si>
    <t>El profesional especializado de la oficina de control disciplinario deberá iniciar la acción disciplinaria cuando la conducta sea disciplinable</t>
  </si>
  <si>
    <t>Omisión del reparto o Reparto extemporáneo 
Omisión o extemporaneidad del proyecto de respuesta.
Omisión o extemporaneidad de la revisión del proyecto de respuesta.
Omisión o extemporaneidad en la firma del proyecto
Omisión, extemporaneidad o errores en la radicación del proyecto
Omisión, extemporaneidad o errores en las respuestas de solicitudes de la Oficina Asesora Jurídica por parte de otras áreas u otras entidades
No disponibilidad de la  plataforma de gestión documental</t>
  </si>
  <si>
    <t>Uso de correo electrónico o físico por indisponibilidad del gestor documental</t>
  </si>
  <si>
    <t>Solicitud extemporánea de PAC</t>
  </si>
  <si>
    <t>Generar alerta mediante envío de correo con las reservas potenciales por la ejecución de recursos.</t>
  </si>
  <si>
    <t>Incorrecta identificación, afectación, clasificación y medición de hechos económicos en la contabilidad de la entidad.</t>
  </si>
  <si>
    <t>Inoportunidad en el suministro de información de las dependencias
Desconocimiento de las normas o políticas contables de la entidad
Incorrecta parametrización de los sistemas de información que alimentan la contabilidad</t>
  </si>
  <si>
    <t>Realización de conciliaciones con las dependencias que suministran la información</t>
  </si>
  <si>
    <t>. Desactualización normativa por parte de los funcionarios de la dependencia
Errores jurídicos en el trámite de los procesos de selección,
 Incumplimiento de los términos para la publicación de los documentos del proceso contractual, adelantar procesos contractuales sin que se cuente con el respaldo presupuestal requerido (constitución de hechos cumplidos), Retraso en el desarrollo de las etapas contractuales, escaso personal para el desarrollo de las actividades del proceso, inadecuada planeación por parte de las áreas al momento de proyectar los estudios previos y presentar soportes, inconsistencias en los estudios previos y análisis del sector de los procesos contractuales que se radica</t>
  </si>
  <si>
    <t>Seguimiento al cumplimiento de los lineamientos por Colombia compra eficiente</t>
  </si>
  <si>
    <t>Aplicación de pólizas en caso de incumpliendo en los contratos</t>
  </si>
  <si>
    <t>Aplicación de pólizas sobre los bienes muebles</t>
  </si>
  <si>
    <t xml:space="preserve">Debilidades en los controles de vigilancia
Debilidades en la solicitud y reporte de retiro de equipos por parte de los funcionarios </t>
  </si>
  <si>
    <t>Control de recepción de cada piso</t>
  </si>
  <si>
    <t>Controles de ingreso  y salda  de personas</t>
  </si>
  <si>
    <t>Verificación de Inventario</t>
  </si>
  <si>
    <t>Cámaras de vigilancia</t>
  </si>
  <si>
    <t>Ejecución de póliza por fallas en la vigilancia</t>
  </si>
  <si>
    <t>Aplicación matriz de seguimiento a la trazabilidad del acto administrativo</t>
  </si>
  <si>
    <t>Agotamiento de la fuerza laboral Sobre carga laboral mal clima organizacional incumplimiento de las disposiciones legales en los diseños puestos de trabajo</t>
  </si>
  <si>
    <t>Seguimiento al plan de clima organizacional</t>
  </si>
  <si>
    <t>Debilidades en la selección del talento humano, debilidades en el programa de inducción y reinducción,, deficiente promoción y apropiación del código de integridad, falta de propósito organizacional, debilidades en el programa de cultura organizacional</t>
  </si>
  <si>
    <t>Aplicación de chequeo establecidas en el procedimientos de vinculación</t>
  </si>
  <si>
    <t>Seguimiento al cumplimiento del programa de inducción y reinducción</t>
  </si>
  <si>
    <t>Aprobación de los actos administrativas</t>
  </si>
  <si>
    <t>Furga o perdida del conocimiento por siutaciones adminitrativas del talento humano</t>
  </si>
  <si>
    <t>Reubicacioones, licencias extendidas ,vacaciones, salida de colaboradores por cumplir edad de pensión, concurso de la CNSC</t>
  </si>
  <si>
    <t>Seguimiento a la implementación del planinstitucional de caapacitación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</si>
</sst>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60" x14ac:knownFonts="1">
    <font>
      <sz val="11"/>
      <color theme="1"/>
      <name val="Arial"/>
    </font>
    <font>
      <sz val="11"/>
      <color theme="1"/>
      <name val="Calibri"/>
      <family val="2"/>
    </font>
    <font>
      <b/>
      <sz val="14"/>
      <color theme="1"/>
      <name val="Arial Narrow"/>
      <family val="2"/>
    </font>
    <font>
      <sz val="11"/>
      <name val="Arial"/>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
      <sz val="10"/>
      <name val="Arial Narrow"/>
      <family val="2"/>
    </font>
  </fonts>
  <fills count="21">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4" tint="0.59999389629810485"/>
        <bgColor indexed="64"/>
      </patternFill>
    </fill>
    <fill>
      <patternFill patternType="solid">
        <fgColor theme="0"/>
        <bgColor indexed="64"/>
      </patternFill>
    </fill>
  </fills>
  <borders count="116">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style="dotted">
        <color rgb="FFE36C09"/>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99">
    <xf numFmtId="0" fontId="0" fillId="0" borderId="0" xfId="0"/>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6" fillId="2" borderId="1"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 xfId="0" applyFont="1" applyFill="1" applyBorder="1" applyAlignment="1">
      <alignment horizontal="center"/>
    </xf>
    <xf numFmtId="0" fontId="8" fillId="2" borderId="1" xfId="0" applyFont="1" applyFill="1" applyBorder="1" applyAlignment="1">
      <alignment horizontal="center" vertical="center"/>
    </xf>
    <xf numFmtId="0" fontId="6" fillId="2" borderId="1" xfId="0" applyFont="1" applyFill="1" applyBorder="1" applyAlignment="1">
      <alignment vertical="center"/>
    </xf>
    <xf numFmtId="0" fontId="6" fillId="0" borderId="0" xfId="0" applyFont="1"/>
    <xf numFmtId="0" fontId="6" fillId="0" borderId="54"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xf>
    <xf numFmtId="0" fontId="8" fillId="0" borderId="0" xfId="0" applyFont="1" applyAlignment="1">
      <alignment horizontal="left" vertical="center"/>
    </xf>
    <xf numFmtId="0" fontId="18" fillId="2" borderId="1" xfId="0" applyFont="1" applyFill="1" applyBorder="1" applyAlignment="1">
      <alignment vertical="center"/>
    </xf>
    <xf numFmtId="0" fontId="21" fillId="7" borderId="85" xfId="0" applyFont="1" applyFill="1" applyBorder="1" applyAlignment="1">
      <alignment horizontal="center" vertical="center" wrapText="1" readingOrder="1"/>
    </xf>
    <xf numFmtId="0" fontId="21" fillId="7" borderId="86" xfId="0" applyFont="1" applyFill="1" applyBorder="1" applyAlignment="1">
      <alignment horizontal="center" vertical="center" wrapText="1" readingOrder="1"/>
    </xf>
    <xf numFmtId="0" fontId="21" fillId="7" borderId="87" xfId="0" applyFont="1" applyFill="1" applyBorder="1" applyAlignment="1">
      <alignment horizontal="center" vertical="center" wrapText="1" readingOrder="1"/>
    </xf>
    <xf numFmtId="0" fontId="21" fillId="8" borderId="85" xfId="0" applyFont="1" applyFill="1" applyBorder="1" applyAlignment="1">
      <alignment horizontal="center" wrapText="1" readingOrder="1"/>
    </xf>
    <xf numFmtId="0" fontId="21" fillId="8" borderId="86" xfId="0" applyFont="1" applyFill="1" applyBorder="1" applyAlignment="1">
      <alignment horizontal="center" wrapText="1" readingOrder="1"/>
    </xf>
    <xf numFmtId="0" fontId="21" fillId="8" borderId="87" xfId="0" applyFont="1" applyFill="1" applyBorder="1" applyAlignment="1">
      <alignment horizontal="center" wrapText="1" readingOrder="1"/>
    </xf>
    <xf numFmtId="0" fontId="21" fillId="7" borderId="19" xfId="0" applyFont="1" applyFill="1" applyBorder="1" applyAlignment="1">
      <alignment horizontal="center" vertical="center" wrapText="1" readingOrder="1"/>
    </xf>
    <xf numFmtId="0" fontId="21" fillId="7" borderId="1" xfId="0" applyFont="1" applyFill="1" applyBorder="1" applyAlignment="1">
      <alignment horizontal="center" vertical="center" wrapText="1" readingOrder="1"/>
    </xf>
    <xf numFmtId="0" fontId="21" fillId="7" borderId="20" xfId="0" applyFont="1" applyFill="1" applyBorder="1" applyAlignment="1">
      <alignment horizontal="center" vertical="center" wrapText="1" readingOrder="1"/>
    </xf>
    <xf numFmtId="0" fontId="21" fillId="8" borderId="19" xfId="0" applyFont="1" applyFill="1" applyBorder="1" applyAlignment="1">
      <alignment horizontal="center" wrapText="1" readingOrder="1"/>
    </xf>
    <xf numFmtId="0" fontId="21" fillId="8" borderId="1" xfId="0" applyFont="1" applyFill="1" applyBorder="1" applyAlignment="1">
      <alignment horizontal="center" wrapText="1" readingOrder="1"/>
    </xf>
    <xf numFmtId="0" fontId="21" fillId="8" borderId="20" xfId="0" applyFont="1" applyFill="1" applyBorder="1" applyAlignment="1">
      <alignment horizontal="center" wrapText="1" readingOrder="1"/>
    </xf>
    <xf numFmtId="0" fontId="21" fillId="7" borderId="40" xfId="0" applyFont="1" applyFill="1" applyBorder="1" applyAlignment="1">
      <alignment horizontal="center" vertical="center" wrapText="1" readingOrder="1"/>
    </xf>
    <xf numFmtId="0" fontId="21" fillId="7" borderId="41" xfId="0" applyFont="1" applyFill="1" applyBorder="1" applyAlignment="1">
      <alignment horizontal="center" vertical="center" wrapText="1" readingOrder="1"/>
    </xf>
    <xf numFmtId="0" fontId="21" fillId="7" borderId="42" xfId="0" applyFont="1" applyFill="1" applyBorder="1" applyAlignment="1">
      <alignment horizontal="center" vertical="center" wrapText="1" readingOrder="1"/>
    </xf>
    <xf numFmtId="0" fontId="21" fillId="8" borderId="40" xfId="0" applyFont="1" applyFill="1" applyBorder="1" applyAlignment="1">
      <alignment horizontal="center" wrapText="1" readingOrder="1"/>
    </xf>
    <xf numFmtId="0" fontId="21" fillId="8" borderId="41" xfId="0" applyFont="1" applyFill="1" applyBorder="1" applyAlignment="1">
      <alignment horizontal="center" wrapText="1" readingOrder="1"/>
    </xf>
    <xf numFmtId="0" fontId="21" fillId="8" borderId="42" xfId="0" applyFont="1" applyFill="1" applyBorder="1" applyAlignment="1">
      <alignment horizontal="center" wrapText="1" readingOrder="1"/>
    </xf>
    <xf numFmtId="0" fontId="21" fillId="9" borderId="85" xfId="0" applyFont="1" applyFill="1" applyBorder="1" applyAlignment="1">
      <alignment horizontal="center" wrapText="1" readingOrder="1"/>
    </xf>
    <xf numFmtId="0" fontId="21" fillId="9" borderId="86" xfId="0" applyFont="1" applyFill="1" applyBorder="1" applyAlignment="1">
      <alignment horizontal="center" wrapText="1" readingOrder="1"/>
    </xf>
    <xf numFmtId="0" fontId="21" fillId="9" borderId="87" xfId="0" applyFont="1" applyFill="1" applyBorder="1" applyAlignment="1">
      <alignment horizontal="center" wrapText="1" readingOrder="1"/>
    </xf>
    <xf numFmtId="0" fontId="21" fillId="9" borderId="19" xfId="0" applyFont="1" applyFill="1" applyBorder="1" applyAlignment="1">
      <alignment horizontal="center" wrapText="1" readingOrder="1"/>
    </xf>
    <xf numFmtId="0" fontId="21" fillId="9" borderId="1" xfId="0" applyFont="1" applyFill="1" applyBorder="1" applyAlignment="1">
      <alignment horizontal="center" wrapText="1" readingOrder="1"/>
    </xf>
    <xf numFmtId="0" fontId="21" fillId="9" borderId="20" xfId="0" applyFont="1" applyFill="1" applyBorder="1" applyAlignment="1">
      <alignment horizontal="center" wrapText="1" readingOrder="1"/>
    </xf>
    <xf numFmtId="0" fontId="21" fillId="9" borderId="40" xfId="0" applyFont="1" applyFill="1" applyBorder="1" applyAlignment="1">
      <alignment horizontal="center" wrapText="1" readingOrder="1"/>
    </xf>
    <xf numFmtId="0" fontId="21" fillId="9" borderId="41" xfId="0" applyFont="1" applyFill="1" applyBorder="1" applyAlignment="1">
      <alignment horizontal="center" wrapText="1" readingOrder="1"/>
    </xf>
    <xf numFmtId="0" fontId="21" fillId="9" borderId="42" xfId="0" applyFont="1" applyFill="1" applyBorder="1" applyAlignment="1">
      <alignment horizontal="center" wrapText="1" readingOrder="1"/>
    </xf>
    <xf numFmtId="0" fontId="21" fillId="10" borderId="85" xfId="0" applyFont="1" applyFill="1" applyBorder="1" applyAlignment="1">
      <alignment horizontal="center" wrapText="1" readingOrder="1"/>
    </xf>
    <xf numFmtId="0" fontId="21" fillId="10" borderId="86" xfId="0" applyFont="1" applyFill="1" applyBorder="1" applyAlignment="1">
      <alignment horizontal="center" wrapText="1" readingOrder="1"/>
    </xf>
    <xf numFmtId="0" fontId="21" fillId="10" borderId="87" xfId="0" applyFont="1" applyFill="1" applyBorder="1" applyAlignment="1">
      <alignment horizontal="center" wrapText="1" readingOrder="1"/>
    </xf>
    <xf numFmtId="0" fontId="21" fillId="10" borderId="19" xfId="0" applyFont="1" applyFill="1" applyBorder="1" applyAlignment="1">
      <alignment horizontal="center" wrapText="1" readingOrder="1"/>
    </xf>
    <xf numFmtId="0" fontId="21" fillId="10" borderId="1" xfId="0" applyFont="1" applyFill="1" applyBorder="1" applyAlignment="1">
      <alignment horizontal="center" wrapText="1" readingOrder="1"/>
    </xf>
    <xf numFmtId="0" fontId="21" fillId="10" borderId="20" xfId="0" applyFont="1" applyFill="1" applyBorder="1" applyAlignment="1">
      <alignment horizontal="center" wrapText="1" readingOrder="1"/>
    </xf>
    <xf numFmtId="0" fontId="21" fillId="10" borderId="40" xfId="0" applyFont="1" applyFill="1" applyBorder="1" applyAlignment="1">
      <alignment horizontal="center" wrapText="1" readingOrder="1"/>
    </xf>
    <xf numFmtId="0" fontId="21" fillId="10" borderId="41" xfId="0" applyFont="1" applyFill="1" applyBorder="1" applyAlignment="1">
      <alignment horizontal="center" wrapText="1" readingOrder="1"/>
    </xf>
    <xf numFmtId="0" fontId="21" fillId="10" borderId="42" xfId="0" applyFont="1" applyFill="1" applyBorder="1" applyAlignment="1">
      <alignment horizontal="center" wrapText="1" readingOrder="1"/>
    </xf>
    <xf numFmtId="0" fontId="23" fillId="9" borderId="86" xfId="0" applyFont="1" applyFill="1" applyBorder="1" applyAlignment="1">
      <alignment horizontal="center" wrapText="1" readingOrder="1"/>
    </xf>
    <xf numFmtId="0" fontId="24" fillId="0" borderId="0" xfId="0" applyFont="1" applyAlignment="1">
      <alignment horizontal="center" vertical="center" wrapText="1"/>
    </xf>
    <xf numFmtId="0" fontId="25" fillId="11" borderId="1" xfId="0" applyFont="1" applyFill="1" applyBorder="1" applyAlignment="1">
      <alignment horizontal="center" vertical="center" wrapText="1" readingOrder="1"/>
    </xf>
    <xf numFmtId="0" fontId="26" fillId="10" borderId="88" xfId="0" applyFont="1" applyFill="1" applyBorder="1" applyAlignment="1">
      <alignment horizontal="center" vertical="center" wrapText="1" readingOrder="1"/>
    </xf>
    <xf numFmtId="0" fontId="26" fillId="0" borderId="89" xfId="0" applyFont="1" applyBorder="1" applyAlignment="1">
      <alignment horizontal="left" vertical="center" wrapText="1" readingOrder="1"/>
    </xf>
    <xf numFmtId="9" fontId="26" fillId="0" borderId="89" xfId="0" applyNumberFormat="1" applyFont="1" applyBorder="1" applyAlignment="1">
      <alignment horizontal="center" vertical="center" wrapText="1" readingOrder="1"/>
    </xf>
    <xf numFmtId="0" fontId="26" fillId="12" borderId="90" xfId="0" applyFont="1" applyFill="1" applyBorder="1" applyAlignment="1">
      <alignment horizontal="center" vertical="center" wrapText="1" readingOrder="1"/>
    </xf>
    <xf numFmtId="0" fontId="26" fillId="0" borderId="90" xfId="0" applyFont="1" applyBorder="1" applyAlignment="1">
      <alignment horizontal="left" vertical="center" wrapText="1" readingOrder="1"/>
    </xf>
    <xf numFmtId="9" fontId="26" fillId="0" borderId="90" xfId="0" applyNumberFormat="1" applyFont="1" applyBorder="1" applyAlignment="1">
      <alignment horizontal="center" vertical="center" wrapText="1" readingOrder="1"/>
    </xf>
    <xf numFmtId="0" fontId="26" fillId="13" borderId="90" xfId="0" applyFont="1" applyFill="1" applyBorder="1" applyAlignment="1">
      <alignment horizontal="center" vertical="center" wrapText="1" readingOrder="1"/>
    </xf>
    <xf numFmtId="0" fontId="26" fillId="14" borderId="90" xfId="0" applyFont="1" applyFill="1" applyBorder="1" applyAlignment="1">
      <alignment horizontal="center" vertical="center" wrapText="1" readingOrder="1"/>
    </xf>
    <xf numFmtId="0" fontId="27" fillId="5" borderId="90"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29" fillId="2" borderId="1" xfId="0" applyFont="1" applyFill="1" applyBorder="1" applyAlignment="1">
      <alignment horizontal="center" vertical="center" wrapText="1"/>
    </xf>
    <xf numFmtId="0" fontId="30" fillId="11" borderId="1" xfId="0" applyFont="1" applyFill="1" applyBorder="1" applyAlignment="1">
      <alignment horizontal="center" vertical="center" wrapText="1" readingOrder="1"/>
    </xf>
    <xf numFmtId="0" fontId="31" fillId="2" borderId="1" xfId="0" applyFont="1" applyFill="1" applyBorder="1"/>
    <xf numFmtId="0" fontId="32" fillId="10" borderId="88" xfId="0" applyFont="1" applyFill="1" applyBorder="1" applyAlignment="1">
      <alignment horizontal="center" vertical="center" wrapText="1" readingOrder="1"/>
    </xf>
    <xf numFmtId="0" fontId="32" fillId="0" borderId="89" xfId="0" applyFont="1" applyBorder="1" applyAlignment="1">
      <alignment horizontal="center" vertical="center" wrapText="1" readingOrder="1"/>
    </xf>
    <xf numFmtId="0" fontId="32" fillId="0" borderId="89" xfId="0" applyFont="1" applyBorder="1" applyAlignment="1">
      <alignment horizontal="left" vertical="center" wrapText="1" readingOrder="1"/>
    </xf>
    <xf numFmtId="0" fontId="32" fillId="12" borderId="90" xfId="0" applyFont="1" applyFill="1" applyBorder="1" applyAlignment="1">
      <alignment horizontal="center" vertical="center" wrapText="1" readingOrder="1"/>
    </xf>
    <xf numFmtId="0" fontId="32" fillId="0" borderId="90" xfId="0" applyFont="1" applyBorder="1" applyAlignment="1">
      <alignment horizontal="center" vertical="center" wrapText="1" readingOrder="1"/>
    </xf>
    <xf numFmtId="0" fontId="32" fillId="0" borderId="90" xfId="0" applyFont="1" applyBorder="1" applyAlignment="1">
      <alignment horizontal="left" vertical="center" wrapText="1" readingOrder="1"/>
    </xf>
    <xf numFmtId="0" fontId="32" fillId="13" borderId="90" xfId="0" applyFont="1" applyFill="1" applyBorder="1" applyAlignment="1">
      <alignment horizontal="center" vertical="center" wrapText="1" readingOrder="1"/>
    </xf>
    <xf numFmtId="0" fontId="32" fillId="14" borderId="90" xfId="0" applyFont="1" applyFill="1" applyBorder="1" applyAlignment="1">
      <alignment horizontal="center" vertical="center" wrapText="1" readingOrder="1"/>
    </xf>
    <xf numFmtId="0" fontId="33" fillId="5" borderId="90" xfId="0" applyFont="1" applyFill="1" applyBorder="1" applyAlignment="1">
      <alignment horizontal="center" vertical="center" wrapText="1" readingOrder="1"/>
    </xf>
    <xf numFmtId="0" fontId="34"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31" fillId="0" borderId="0" xfId="0" applyFont="1"/>
    <xf numFmtId="0" fontId="34" fillId="0" borderId="0" xfId="0" applyFont="1" applyAlignment="1">
      <alignment horizontal="left" vertical="center" wrapText="1" readingOrder="1"/>
    </xf>
    <xf numFmtId="0" fontId="35" fillId="0" borderId="0" xfId="0" applyFont="1" applyAlignment="1">
      <alignment vertical="center"/>
    </xf>
    <xf numFmtId="0" fontId="1"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2" borderId="1" xfId="0" applyFont="1" applyFill="1" applyBorder="1"/>
    <xf numFmtId="0" fontId="42" fillId="2" borderId="1" xfId="0" applyFont="1" applyFill="1" applyBorder="1"/>
    <xf numFmtId="0" fontId="43" fillId="15" borderId="95" xfId="0" applyFont="1" applyFill="1" applyBorder="1" applyAlignment="1">
      <alignment horizontal="center" vertical="center" wrapText="1" readingOrder="1"/>
    </xf>
    <xf numFmtId="0" fontId="43" fillId="15" borderId="96" xfId="0" applyFont="1" applyFill="1" applyBorder="1" applyAlignment="1">
      <alignment horizontal="center" vertical="center" wrapText="1" readingOrder="1"/>
    </xf>
    <xf numFmtId="0" fontId="43" fillId="2" borderId="99" xfId="0" applyFont="1" applyFill="1" applyBorder="1" applyAlignment="1">
      <alignment horizontal="center" vertical="center" wrapText="1" readingOrder="1"/>
    </xf>
    <xf numFmtId="0" fontId="44" fillId="2" borderId="99" xfId="0" applyFont="1" applyFill="1" applyBorder="1" applyAlignment="1">
      <alignment horizontal="left" vertical="center" wrapText="1" readingOrder="1"/>
    </xf>
    <xf numFmtId="9" fontId="43" fillId="2" borderId="100" xfId="0" applyNumberFormat="1" applyFont="1" applyFill="1" applyBorder="1" applyAlignment="1">
      <alignment horizontal="center" vertical="center" wrapText="1" readingOrder="1"/>
    </xf>
    <xf numFmtId="0" fontId="43" fillId="2" borderId="103" xfId="0" applyFont="1" applyFill="1" applyBorder="1" applyAlignment="1">
      <alignment horizontal="center" vertical="center" wrapText="1" readingOrder="1"/>
    </xf>
    <xf numFmtId="0" fontId="44" fillId="2" borderId="103" xfId="0" applyFont="1" applyFill="1" applyBorder="1" applyAlignment="1">
      <alignment horizontal="left" vertical="center" wrapText="1" readingOrder="1"/>
    </xf>
    <xf numFmtId="9" fontId="43" fillId="2" borderId="104" xfId="0" applyNumberFormat="1" applyFont="1" applyFill="1" applyBorder="1" applyAlignment="1">
      <alignment horizontal="center" vertical="center" wrapText="1" readingOrder="1"/>
    </xf>
    <xf numFmtId="0" fontId="44" fillId="2" borderId="104" xfId="0" applyFont="1" applyFill="1" applyBorder="1" applyAlignment="1">
      <alignment horizontal="center" vertical="center" wrapText="1" readingOrder="1"/>
    </xf>
    <xf numFmtId="0" fontId="43" fillId="2" borderId="111" xfId="0" applyFont="1" applyFill="1" applyBorder="1" applyAlignment="1">
      <alignment horizontal="center" vertical="center" wrapText="1" readingOrder="1"/>
    </xf>
    <xf numFmtId="0" fontId="44" fillId="2" borderId="111" xfId="0" applyFont="1" applyFill="1" applyBorder="1" applyAlignment="1">
      <alignment horizontal="left" vertical="center" wrapText="1" readingOrder="1"/>
    </xf>
    <xf numFmtId="0" fontId="44" fillId="2" borderId="112" xfId="0" applyFont="1" applyFill="1" applyBorder="1" applyAlignment="1">
      <alignment horizontal="center" vertical="center" wrapText="1" readingOrder="1"/>
    </xf>
    <xf numFmtId="0" fontId="10" fillId="2" borderId="1" xfId="0" applyFont="1" applyFill="1" applyBorder="1"/>
    <xf numFmtId="0" fontId="40" fillId="0" borderId="0" xfId="0" applyFont="1"/>
    <xf numFmtId="0" fontId="46" fillId="0" borderId="90" xfId="0" applyFont="1" applyBorder="1" applyAlignment="1">
      <alignment horizontal="left" vertical="center" wrapText="1" readingOrder="1"/>
    </xf>
    <xf numFmtId="0" fontId="6" fillId="2" borderId="62" xfId="0" applyFont="1" applyFill="1" applyBorder="1"/>
    <xf numFmtId="0" fontId="51" fillId="0" borderId="0" xfId="0" applyFont="1"/>
    <xf numFmtId="0" fontId="6" fillId="0" borderId="113" xfId="0" applyFont="1" applyBorder="1" applyAlignment="1">
      <alignment horizontal="center" vertical="top" wrapText="1"/>
    </xf>
    <xf numFmtId="0" fontId="0" fillId="0" borderId="113" xfId="0" applyBorder="1" applyAlignment="1">
      <alignment horizontal="center" vertical="top"/>
    </xf>
    <xf numFmtId="0" fontId="0" fillId="0" borderId="62" xfId="0" applyBorder="1"/>
    <xf numFmtId="0" fontId="8" fillId="18" borderId="113" xfId="0" applyFont="1" applyFill="1" applyBorder="1" applyAlignment="1">
      <alignment horizontal="center" vertical="center" wrapText="1"/>
    </xf>
    <xf numFmtId="0" fontId="55" fillId="17" borderId="113" xfId="0" applyFont="1" applyFill="1" applyBorder="1" applyAlignment="1">
      <alignment wrapText="1"/>
    </xf>
    <xf numFmtId="0" fontId="53" fillId="18" borderId="113" xfId="0" applyFont="1" applyFill="1" applyBorder="1" applyAlignment="1">
      <alignment horizontal="center" vertical="center" wrapText="1"/>
    </xf>
    <xf numFmtId="0" fontId="8" fillId="4" borderId="113" xfId="0" applyFont="1" applyFill="1" applyBorder="1" applyAlignment="1">
      <alignment horizontal="center" vertical="center" textRotation="90"/>
    </xf>
    <xf numFmtId="0" fontId="6" fillId="0" borderId="113" xfId="0" applyFont="1" applyBorder="1" applyAlignment="1">
      <alignment horizontal="center" vertical="top"/>
    </xf>
    <xf numFmtId="0" fontId="6" fillId="0" borderId="113" xfId="0" applyFont="1" applyBorder="1" applyAlignment="1" applyProtection="1">
      <alignment horizontal="center" vertical="top" wrapText="1"/>
      <protection locked="0"/>
    </xf>
    <xf numFmtId="0" fontId="8" fillId="0" borderId="113" xfId="0" applyFont="1" applyBorder="1" applyAlignment="1">
      <alignment horizontal="center" vertical="top" wrapText="1"/>
    </xf>
    <xf numFmtId="9" fontId="6" fillId="0" borderId="113" xfId="0" applyNumberFormat="1" applyFont="1" applyBorder="1" applyAlignment="1">
      <alignment horizontal="center" vertical="top" wrapText="1"/>
    </xf>
    <xf numFmtId="0" fontId="8" fillId="0" borderId="113" xfId="0" applyFont="1" applyBorder="1" applyAlignment="1">
      <alignment horizontal="center" vertical="top"/>
    </xf>
    <xf numFmtId="0" fontId="4" fillId="0" borderId="113" xfId="0" applyFont="1" applyBorder="1" applyAlignment="1">
      <alignment horizontal="left" vertical="top" wrapText="1"/>
    </xf>
    <xf numFmtId="0" fontId="4" fillId="0" borderId="113" xfId="0" applyFont="1" applyBorder="1" applyAlignment="1" applyProtection="1">
      <alignment horizontal="justify" vertical="top" wrapText="1"/>
      <protection locked="0"/>
    </xf>
    <xf numFmtId="0" fontId="6" fillId="0" borderId="113" xfId="0" applyFont="1" applyBorder="1" applyAlignment="1">
      <alignment horizontal="center" vertical="top" textRotation="90"/>
    </xf>
    <xf numFmtId="9" fontId="6" fillId="0" borderId="113" xfId="0" applyNumberFormat="1" applyFont="1" applyBorder="1" applyAlignment="1">
      <alignment horizontal="center" vertical="top"/>
    </xf>
    <xf numFmtId="164" fontId="6" fillId="0" borderId="113" xfId="0" applyNumberFormat="1" applyFont="1" applyBorder="1" applyAlignment="1">
      <alignment horizontal="center" vertical="top"/>
    </xf>
    <xf numFmtId="0" fontId="8" fillId="0" borderId="113" xfId="0" applyFont="1" applyBorder="1" applyAlignment="1">
      <alignment horizontal="center" vertical="top" textRotation="90" wrapText="1"/>
    </xf>
    <xf numFmtId="0" fontId="8" fillId="0" borderId="113" xfId="0" applyFont="1" applyBorder="1" applyAlignment="1">
      <alignment horizontal="center" vertical="top" textRotation="90"/>
    </xf>
    <xf numFmtId="14" fontId="6" fillId="0" borderId="113" xfId="0" applyNumberFormat="1" applyFont="1" applyBorder="1" applyAlignment="1">
      <alignment horizontal="center" vertical="top"/>
    </xf>
    <xf numFmtId="9" fontId="54" fillId="0" borderId="113" xfId="0" applyNumberFormat="1" applyFont="1" applyBorder="1" applyAlignment="1">
      <alignment horizontal="center" vertical="top" wrapText="1"/>
    </xf>
    <xf numFmtId="0" fontId="6" fillId="0" borderId="113" xfId="0" applyFont="1" applyBorder="1" applyAlignment="1">
      <alignment horizontal="left" vertical="top" wrapText="1"/>
    </xf>
    <xf numFmtId="16" fontId="4" fillId="0" borderId="113" xfId="0" applyNumberFormat="1" applyFont="1" applyBorder="1" applyAlignment="1" applyProtection="1">
      <alignment horizontal="justify" vertical="top" wrapText="1"/>
      <protection locked="0"/>
    </xf>
    <xf numFmtId="0" fontId="0" fillId="20" borderId="113" xfId="0" applyFill="1" applyBorder="1" applyAlignment="1">
      <alignment horizontal="center" vertical="top"/>
    </xf>
    <xf numFmtId="0" fontId="59" fillId="0" borderId="113" xfId="0" applyFont="1" applyBorder="1" applyAlignment="1">
      <alignment horizontal="left" vertical="top" wrapText="1"/>
    </xf>
    <xf numFmtId="0" fontId="6" fillId="0" borderId="113" xfId="0" applyFont="1" applyBorder="1" applyAlignment="1" applyProtection="1">
      <alignment horizontal="justify" vertical="top"/>
      <protection locked="0"/>
    </xf>
    <xf numFmtId="0" fontId="6" fillId="20" borderId="113" xfId="0" applyFont="1" applyFill="1" applyBorder="1" applyAlignment="1">
      <alignment horizontal="left" vertical="top" wrapText="1"/>
    </xf>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10" fillId="2" borderId="29" xfId="0" applyFont="1" applyFill="1" applyBorder="1" applyAlignment="1">
      <alignment horizontal="left" vertical="center" wrapText="1"/>
    </xf>
    <xf numFmtId="0" fontId="3" fillId="0" borderId="30" xfId="0" applyFont="1" applyBorder="1"/>
    <xf numFmtId="0" fontId="10" fillId="2" borderId="33" xfId="0" applyFont="1" applyFill="1" applyBorder="1" applyAlignment="1">
      <alignment horizontal="left" vertical="center" wrapText="1"/>
    </xf>
    <xf numFmtId="0" fontId="3" fillId="0" borderId="3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6" fillId="0" borderId="113" xfId="0" applyFont="1" applyBorder="1" applyAlignment="1">
      <alignment horizontal="center" vertical="top" wrapText="1"/>
    </xf>
    <xf numFmtId="0" fontId="3" fillId="0" borderId="113" xfId="0" applyFont="1" applyBorder="1" applyAlignment="1">
      <alignment wrapText="1"/>
    </xf>
    <xf numFmtId="0" fontId="6" fillId="0" borderId="113" xfId="0" applyFont="1" applyBorder="1" applyAlignment="1">
      <alignment horizontal="center" vertical="top"/>
    </xf>
    <xf numFmtId="0" fontId="3" fillId="0" borderId="113" xfId="0" applyFont="1" applyBorder="1"/>
    <xf numFmtId="0" fontId="8" fillId="0" borderId="113" xfId="0" applyFont="1" applyBorder="1" applyAlignment="1">
      <alignment horizontal="center" vertical="top" wrapText="1"/>
    </xf>
    <xf numFmtId="9" fontId="6" fillId="0" borderId="113" xfId="0" applyNumberFormat="1" applyFont="1" applyBorder="1" applyAlignment="1">
      <alignment horizontal="center" vertical="top" wrapText="1"/>
    </xf>
    <xf numFmtId="0" fontId="6" fillId="0" borderId="113" xfId="0" applyFont="1" applyBorder="1" applyAlignment="1" applyProtection="1">
      <alignment horizontal="center" vertical="top" wrapText="1"/>
      <protection locked="0"/>
    </xf>
    <xf numFmtId="0" fontId="8" fillId="0" borderId="113" xfId="0" applyFont="1" applyBorder="1" applyAlignment="1">
      <alignment horizontal="center" vertical="top"/>
    </xf>
    <xf numFmtId="0" fontId="6" fillId="20" borderId="113" xfId="0" applyFont="1" applyFill="1" applyBorder="1" applyAlignment="1">
      <alignment horizontal="center" vertical="top" wrapText="1"/>
    </xf>
    <xf numFmtId="0" fontId="3" fillId="20" borderId="113" xfId="0" applyFont="1" applyFill="1" applyBorder="1"/>
    <xf numFmtId="0" fontId="6" fillId="20" borderId="113" xfId="0" applyFont="1" applyFill="1" applyBorder="1" applyAlignment="1" applyProtection="1">
      <alignment horizontal="center" vertical="top" wrapText="1"/>
      <protection locked="0"/>
    </xf>
    <xf numFmtId="0" fontId="6" fillId="0" borderId="49" xfId="0" applyFont="1" applyBorder="1" applyAlignment="1">
      <alignment horizontal="left" vertical="center" wrapText="1"/>
    </xf>
    <xf numFmtId="0" fontId="6" fillId="0" borderId="51" xfId="0" applyFont="1" applyBorder="1" applyAlignment="1">
      <alignment horizontal="left" vertical="center" wrapText="1"/>
    </xf>
    <xf numFmtId="0" fontId="6" fillId="0" borderId="50" xfId="0" applyFont="1" applyBorder="1" applyAlignment="1">
      <alignment horizontal="left" vertical="center" wrapText="1"/>
    </xf>
    <xf numFmtId="0" fontId="2" fillId="4" borderId="113" xfId="0" applyFont="1" applyFill="1" applyBorder="1" applyAlignment="1">
      <alignment horizontal="center" vertical="center" textRotation="90"/>
    </xf>
    <xf numFmtId="0" fontId="0" fillId="0" borderId="113" xfId="0" applyBorder="1" applyAlignment="1">
      <alignment horizontal="center" vertical="top"/>
    </xf>
    <xf numFmtId="0" fontId="6" fillId="0" borderId="114" xfId="0" applyFont="1" applyBorder="1" applyAlignment="1">
      <alignment horizontal="center" vertical="top" wrapText="1"/>
    </xf>
    <xf numFmtId="0" fontId="6" fillId="0" borderId="115" xfId="0" applyFont="1" applyBorder="1" applyAlignment="1">
      <alignment horizontal="center" vertical="top" wrapText="1"/>
    </xf>
    <xf numFmtId="0" fontId="8" fillId="4" borderId="113" xfId="0" applyFont="1" applyFill="1" applyBorder="1" applyAlignment="1">
      <alignment horizontal="center" vertical="center" wrapText="1"/>
    </xf>
    <xf numFmtId="0" fontId="8" fillId="4" borderId="113" xfId="0" applyFont="1" applyFill="1" applyBorder="1" applyAlignment="1">
      <alignment horizontal="center" vertical="center"/>
    </xf>
    <xf numFmtId="0" fontId="8" fillId="18" borderId="113" xfId="0" applyFont="1" applyFill="1" applyBorder="1" applyAlignment="1">
      <alignment horizontal="center" vertical="center" wrapText="1"/>
    </xf>
    <xf numFmtId="0" fontId="3" fillId="19" borderId="113" xfId="0" applyFont="1" applyFill="1" applyBorder="1"/>
    <xf numFmtId="0" fontId="8" fillId="4" borderId="113" xfId="0" applyFont="1" applyFill="1" applyBorder="1" applyAlignment="1">
      <alignment horizontal="center" vertical="center" textRotation="90" wrapText="1"/>
    </xf>
    <xf numFmtId="0" fontId="56" fillId="16" borderId="113" xfId="0" applyFont="1" applyFill="1" applyBorder="1" applyAlignment="1">
      <alignment horizontal="center" vertical="center" wrapText="1"/>
    </xf>
    <xf numFmtId="0" fontId="3" fillId="0" borderId="49" xfId="0" applyFont="1" applyBorder="1" applyAlignment="1">
      <alignment horizontal="center"/>
    </xf>
    <xf numFmtId="0" fontId="3" fillId="0" borderId="51" xfId="0" applyFont="1" applyBorder="1" applyAlignment="1">
      <alignment horizontal="center"/>
    </xf>
    <xf numFmtId="0" fontId="3" fillId="0" borderId="50" xfId="0" applyFont="1" applyBorder="1" applyAlignment="1">
      <alignment horizontal="center"/>
    </xf>
    <xf numFmtId="0" fontId="12" fillId="4" borderId="43" xfId="0" applyFont="1" applyFill="1" applyBorder="1" applyAlignment="1">
      <alignment horizontal="center" vertical="center"/>
    </xf>
    <xf numFmtId="0" fontId="3" fillId="0" borderId="44" xfId="0" applyFont="1" applyBorder="1"/>
    <xf numFmtId="0" fontId="3" fillId="0" borderId="45" xfId="0" applyFont="1" applyBorder="1"/>
    <xf numFmtId="0" fontId="3" fillId="0" borderId="46" xfId="0" applyFont="1" applyBorder="1"/>
    <xf numFmtId="0" fontId="3" fillId="0" borderId="47" xfId="0" applyFont="1" applyBorder="1"/>
    <xf numFmtId="0" fontId="3" fillId="0" borderId="48" xfId="0" applyFont="1" applyBorder="1"/>
    <xf numFmtId="0" fontId="13" fillId="4" borderId="49" xfId="0" applyFont="1" applyFill="1" applyBorder="1" applyAlignment="1">
      <alignment horizontal="left" vertical="center"/>
    </xf>
    <xf numFmtId="0" fontId="3" fillId="0" borderId="50" xfId="0" applyFont="1" applyBorder="1"/>
    <xf numFmtId="0" fontId="6" fillId="2" borderId="52" xfId="0" applyFont="1" applyFill="1" applyBorder="1" applyAlignment="1">
      <alignment horizontal="left" vertical="center"/>
    </xf>
    <xf numFmtId="0" fontId="6" fillId="2" borderId="62" xfId="0" applyFont="1" applyFill="1" applyBorder="1" applyAlignment="1">
      <alignment horizontal="left" vertical="center"/>
    </xf>
    <xf numFmtId="0" fontId="3" fillId="0" borderId="53" xfId="0" applyFont="1" applyBorder="1"/>
    <xf numFmtId="0" fontId="8" fillId="4" borderId="43" xfId="0" applyFont="1" applyFill="1" applyBorder="1" applyAlignment="1">
      <alignment horizontal="center" vertical="center"/>
    </xf>
    <xf numFmtId="0" fontId="57" fillId="4" borderId="43" xfId="0" applyFont="1" applyFill="1" applyBorder="1" applyAlignment="1">
      <alignment horizontal="center" vertical="center"/>
    </xf>
    <xf numFmtId="0" fontId="58" fillId="0" borderId="44" xfId="0" applyFont="1" applyBorder="1"/>
    <xf numFmtId="0" fontId="58" fillId="0" borderId="45" xfId="0" applyFont="1" applyBorder="1"/>
    <xf numFmtId="0" fontId="8" fillId="4" borderId="44" xfId="0" applyFont="1" applyFill="1" applyBorder="1" applyAlignment="1">
      <alignment horizontal="center" vertical="center"/>
    </xf>
    <xf numFmtId="0" fontId="16" fillId="9" borderId="55" xfId="0" applyFont="1" applyFill="1" applyBorder="1" applyAlignment="1">
      <alignment horizontal="center" wrapText="1" readingOrder="1"/>
    </xf>
    <xf numFmtId="0" fontId="3" fillId="0" borderId="63" xfId="0" applyFont="1" applyBorder="1"/>
    <xf numFmtId="0" fontId="3" fillId="0" borderId="60" xfId="0" applyFont="1" applyBorder="1"/>
    <xf numFmtId="0" fontId="3" fillId="0" borderId="73" xfId="0" applyFont="1" applyBorder="1"/>
    <xf numFmtId="0" fontId="16" fillId="9" borderId="68" xfId="0" applyFont="1" applyFill="1" applyBorder="1" applyAlignment="1">
      <alignment horizontal="center" wrapText="1" readingOrder="1"/>
    </xf>
    <xf numFmtId="0" fontId="3" fillId="0" borderId="67" xfId="0" applyFont="1" applyBorder="1"/>
    <xf numFmtId="0" fontId="3" fillId="0" borderId="62" xfId="0" applyFont="1" applyBorder="1"/>
    <xf numFmtId="0" fontId="3" fillId="0" borderId="66" xfId="0" applyFont="1" applyBorder="1"/>
    <xf numFmtId="0" fontId="16" fillId="7" borderId="64" xfId="0" applyFont="1" applyFill="1" applyBorder="1" applyAlignment="1">
      <alignment horizontal="center" vertical="center" wrapText="1" readingOrder="1"/>
    </xf>
    <xf numFmtId="0" fontId="3" fillId="0" borderId="72" xfId="0" applyFont="1" applyBorder="1"/>
    <xf numFmtId="0" fontId="16" fillId="7" borderId="68" xfId="0" applyFont="1" applyFill="1" applyBorder="1" applyAlignment="1">
      <alignment horizontal="center" vertical="center" wrapText="1" readingOrder="1"/>
    </xf>
    <xf numFmtId="0" fontId="16" fillId="8" borderId="68" xfId="0" applyFont="1" applyFill="1" applyBorder="1" applyAlignment="1">
      <alignment horizontal="center" wrapText="1" readingOrder="1"/>
    </xf>
    <xf numFmtId="0" fontId="16" fillId="10" borderId="55" xfId="0" applyFont="1" applyFill="1" applyBorder="1" applyAlignment="1">
      <alignment horizontal="center" wrapText="1" readingOrder="1"/>
    </xf>
    <xf numFmtId="0" fontId="3" fillId="0" borderId="57" xfId="0" applyFont="1" applyBorder="1"/>
    <xf numFmtId="0" fontId="16" fillId="9" borderId="76" xfId="0" applyFont="1" applyFill="1" applyBorder="1" applyAlignment="1">
      <alignment horizontal="center" wrapText="1" readingOrder="1"/>
    </xf>
    <xf numFmtId="0" fontId="16" fillId="7" borderId="76" xfId="0" applyFont="1" applyFill="1" applyBorder="1" applyAlignment="1">
      <alignment horizontal="center" vertical="center" wrapText="1" readingOrder="1"/>
    </xf>
    <xf numFmtId="0" fontId="16" fillId="7" borderId="55" xfId="0" applyFont="1" applyFill="1" applyBorder="1" applyAlignment="1">
      <alignment horizontal="center" vertical="center" wrapText="1" readingOrder="1"/>
    </xf>
    <xf numFmtId="0" fontId="16" fillId="8" borderId="76" xfId="0" applyFont="1" applyFill="1" applyBorder="1" applyAlignment="1">
      <alignment horizontal="center" wrapText="1" readingOrder="1"/>
    </xf>
    <xf numFmtId="0" fontId="16" fillId="8" borderId="55" xfId="0" applyFont="1" applyFill="1" applyBorder="1" applyAlignment="1">
      <alignment horizontal="center" wrapText="1" readingOrder="1"/>
    </xf>
    <xf numFmtId="0" fontId="16" fillId="9" borderId="64" xfId="0" applyFont="1" applyFill="1" applyBorder="1" applyAlignment="1">
      <alignment horizontal="center" wrapText="1" readingOrder="1"/>
    </xf>
    <xf numFmtId="0" fontId="15" fillId="0" borderId="64" xfId="0" applyFont="1" applyBorder="1" applyAlignment="1">
      <alignment horizontal="center" vertical="center" wrapText="1"/>
    </xf>
    <xf numFmtId="0" fontId="3" fillId="0" borderId="65" xfId="0" applyFont="1" applyBorder="1"/>
    <xf numFmtId="0" fontId="3" fillId="0" borderId="77" xfId="0" applyFont="1" applyBorder="1"/>
    <xf numFmtId="0" fontId="3" fillId="0" borderId="78" xfId="0" applyFont="1" applyBorder="1"/>
    <xf numFmtId="0" fontId="3" fillId="0" borderId="80" xfId="0" applyFont="1" applyBorder="1"/>
    <xf numFmtId="0" fontId="3" fillId="0" borderId="81" xfId="0" applyFont="1" applyBorder="1"/>
    <xf numFmtId="0" fontId="3" fillId="0" borderId="79" xfId="0" applyFont="1" applyBorder="1"/>
    <xf numFmtId="0" fontId="16" fillId="8" borderId="64" xfId="0" applyFont="1" applyFill="1" applyBorder="1" applyAlignment="1">
      <alignment horizontal="center" wrapText="1" readingOrder="1"/>
    </xf>
    <xf numFmtId="0" fontId="16" fillId="10" borderId="76" xfId="0" applyFont="1" applyFill="1" applyBorder="1" applyAlignment="1">
      <alignment horizontal="center" wrapText="1" readingOrder="1"/>
    </xf>
    <xf numFmtId="0" fontId="12" fillId="0" borderId="0" xfId="0" applyFont="1" applyAlignment="1">
      <alignment horizontal="center" vertical="center" wrapText="1"/>
    </xf>
    <xf numFmtId="0" fontId="14" fillId="6" borderId="55" xfId="0" applyFont="1" applyFill="1" applyBorder="1" applyAlignment="1">
      <alignment horizontal="center" vertical="center" wrapText="1" readingOrder="1"/>
    </xf>
    <xf numFmtId="0" fontId="3" fillId="0" borderId="56" xfId="0" applyFont="1" applyBorder="1"/>
    <xf numFmtId="0" fontId="3" fillId="0" borderId="58" xfId="0" applyFont="1" applyBorder="1"/>
    <xf numFmtId="0" fontId="3" fillId="0" borderId="59" xfId="0" applyFont="1" applyBorder="1"/>
    <xf numFmtId="0" fontId="3" fillId="0" borderId="61" xfId="0" applyFont="1" applyBorder="1"/>
    <xf numFmtId="0" fontId="14" fillId="6" borderId="55" xfId="0" applyFont="1" applyFill="1" applyBorder="1" applyAlignment="1">
      <alignment horizontal="center" vertical="center" textRotation="90" wrapText="1" readingOrder="1"/>
    </xf>
    <xf numFmtId="0" fontId="16" fillId="10" borderId="68" xfId="0" applyFont="1" applyFill="1" applyBorder="1" applyAlignment="1">
      <alignment horizontal="center" wrapText="1" readingOrder="1"/>
    </xf>
    <xf numFmtId="0" fontId="16" fillId="10" borderId="64" xfId="0" applyFont="1" applyFill="1" applyBorder="1" applyAlignment="1">
      <alignment horizontal="center" wrapText="1" readingOrder="1"/>
    </xf>
    <xf numFmtId="0" fontId="17" fillId="8" borderId="69" xfId="0" applyFont="1" applyFill="1" applyBorder="1" applyAlignment="1">
      <alignment horizontal="center" vertical="center" wrapText="1" readingOrder="1"/>
    </xf>
    <xf numFmtId="0" fontId="3" fillId="0" borderId="70" xfId="0" applyFont="1" applyBorder="1"/>
    <xf numFmtId="0" fontId="3" fillId="0" borderId="71" xfId="0" applyFont="1" applyBorder="1"/>
    <xf numFmtId="0" fontId="3" fillId="0" borderId="74" xfId="0" applyFont="1" applyBorder="1"/>
    <xf numFmtId="0" fontId="3" fillId="0" borderId="75" xfId="0" applyFont="1" applyBorder="1"/>
    <xf numFmtId="0" fontId="3" fillId="0" borderId="82" xfId="0" applyFont="1" applyBorder="1"/>
    <xf numFmtId="0" fontId="3" fillId="0" borderId="83" xfId="0" applyFont="1" applyBorder="1"/>
    <xf numFmtId="0" fontId="3" fillId="0" borderId="84" xfId="0" applyFont="1" applyBorder="1"/>
    <xf numFmtId="0" fontId="17" fillId="10" borderId="69" xfId="0" applyFont="1" applyFill="1" applyBorder="1" applyAlignment="1">
      <alignment horizontal="center" vertical="center" wrapText="1" readingOrder="1"/>
    </xf>
    <xf numFmtId="0" fontId="17" fillId="7" borderId="69" xfId="0" applyFont="1" applyFill="1" applyBorder="1" applyAlignment="1">
      <alignment horizontal="center" vertical="center" wrapText="1" readingOrder="1"/>
    </xf>
    <xf numFmtId="0" fontId="17" fillId="9" borderId="69" xfId="0" applyFont="1" applyFill="1" applyBorder="1" applyAlignment="1">
      <alignment horizontal="center" vertical="center" wrapText="1" readingOrder="1"/>
    </xf>
    <xf numFmtId="0" fontId="19" fillId="0" borderId="0" xfId="0" applyFont="1" applyAlignment="1">
      <alignment horizontal="center" vertical="center" wrapText="1"/>
    </xf>
    <xf numFmtId="0" fontId="20" fillId="0" borderId="64" xfId="0" applyFont="1" applyBorder="1" applyAlignment="1">
      <alignment horizontal="center" vertical="center" wrapText="1"/>
    </xf>
    <xf numFmtId="0" fontId="22" fillId="7" borderId="69" xfId="0" applyFont="1" applyFill="1" applyBorder="1" applyAlignment="1">
      <alignment horizontal="center" vertical="center" wrapText="1" readingOrder="1"/>
    </xf>
    <xf numFmtId="0" fontId="22" fillId="9" borderId="69" xfId="0" applyFont="1" applyFill="1" applyBorder="1" applyAlignment="1">
      <alignment horizontal="center" vertical="center" wrapText="1" readingOrder="1"/>
    </xf>
    <xf numFmtId="0" fontId="22" fillId="8" borderId="69" xfId="0" applyFont="1" applyFill="1" applyBorder="1" applyAlignment="1">
      <alignment horizontal="center" vertical="center" wrapText="1" readingOrder="1"/>
    </xf>
    <xf numFmtId="0" fontId="22" fillId="10" borderId="69" xfId="0" applyFont="1" applyFill="1" applyBorder="1" applyAlignment="1">
      <alignment horizontal="center" vertical="center" wrapText="1" readingOrder="1"/>
    </xf>
    <xf numFmtId="0" fontId="13" fillId="0" borderId="0" xfId="0" applyFont="1" applyAlignment="1">
      <alignment horizontal="center" vertical="center"/>
    </xf>
    <xf numFmtId="0" fontId="28" fillId="0" borderId="0" xfId="0" applyFont="1" applyAlignment="1">
      <alignment horizontal="center" vertical="center"/>
    </xf>
    <xf numFmtId="0" fontId="45" fillId="2" borderId="52" xfId="0" applyFont="1" applyFill="1" applyBorder="1" applyAlignment="1">
      <alignment horizontal="left" vertical="center" wrapText="1"/>
    </xf>
    <xf numFmtId="0" fontId="43" fillId="2" borderId="106" xfId="0" applyFont="1" applyFill="1" applyBorder="1" applyAlignment="1">
      <alignment horizontal="center" vertical="center" wrapText="1" readingOrder="1"/>
    </xf>
    <xf numFmtId="0" fontId="3" fillId="0" borderId="105" xfId="0" applyFont="1" applyBorder="1"/>
    <xf numFmtId="0" fontId="3" fillId="0" borderId="110" xfId="0" applyFont="1" applyBorder="1"/>
    <xf numFmtId="0" fontId="41" fillId="15" borderId="91" xfId="0" applyFont="1" applyFill="1" applyBorder="1" applyAlignment="1">
      <alignment horizontal="center" vertical="center" wrapText="1" readingOrder="1"/>
    </xf>
    <xf numFmtId="0" fontId="3" fillId="0" borderId="92" xfId="0" applyFont="1" applyBorder="1"/>
    <xf numFmtId="0" fontId="3" fillId="0" borderId="93" xfId="0" applyFont="1" applyBorder="1"/>
    <xf numFmtId="0" fontId="43" fillId="15" borderId="91" xfId="0" applyFont="1" applyFill="1" applyBorder="1" applyAlignment="1">
      <alignment horizontal="center" vertical="center" wrapText="1" readingOrder="1"/>
    </xf>
    <xf numFmtId="0" fontId="3" fillId="0" borderId="94" xfId="0" applyFont="1" applyBorder="1"/>
    <xf numFmtId="0" fontId="43" fillId="2" borderId="97" xfId="0" applyFont="1" applyFill="1" applyBorder="1" applyAlignment="1">
      <alignment horizontal="center" vertical="center" wrapText="1" readingOrder="1"/>
    </xf>
    <xf numFmtId="0" fontId="3" fillId="0" borderId="101" xfId="0" applyFont="1" applyBorder="1"/>
    <xf numFmtId="0" fontId="3" fillId="0" borderId="107" xfId="0" applyFont="1" applyBorder="1"/>
    <xf numFmtId="0" fontId="43" fillId="2" borderId="98" xfId="0" applyFont="1" applyFill="1" applyBorder="1" applyAlignment="1">
      <alignment horizontal="center" vertical="center" wrapText="1" readingOrder="1"/>
    </xf>
    <xf numFmtId="0" fontId="3" fillId="0" borderId="102" xfId="0" applyFont="1" applyBorder="1"/>
    <xf numFmtId="0" fontId="43" fillId="2" borderId="108" xfId="0" applyFont="1" applyFill="1" applyBorder="1" applyAlignment="1">
      <alignment horizontal="center" vertical="center" wrapText="1" readingOrder="1"/>
    </xf>
    <xf numFmtId="0" fontId="3" fillId="0" borderId="109" xfId="0" applyFont="1" applyBorder="1"/>
  </cellXfs>
  <cellStyles count="1">
    <cellStyle name="Normal" xfId="0" builtinId="0"/>
  </cellStyles>
  <dxfs count="159">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158"/>
      <tableStyleElement type="firstRowStripe" dxfId="157"/>
      <tableStyleElement type="secondRowStripe" dxfId="15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91f16a127d3eb837/Documents/SSF/CONTRATO%202023/EJECUCI&#211;N/GESTI&#211;N%20DEL%20RIESGO%202023/ACTUALIZAC&#211;N%20RIESGOS%202023/VISITA%20A%20ENTES%20VIGILADOS/Mapa%20de%20Riesgos%20Gest%20Visitas%20Entes%20Vi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Opciones Tratamiento"/>
      <sheetName val="Matriz Calor Inherente"/>
      <sheetName val="Matriz Calor Residual"/>
      <sheetName val="Tabla probabilidad"/>
      <sheetName val="Tabla Impacto"/>
      <sheetName val="Tabla Valoración controles"/>
      <sheetName val="Hoja1"/>
    </sheetNames>
    <sheetDataSet>
      <sheetData sheetId="0"/>
      <sheetData sheetId="1"/>
      <sheetData sheetId="2">
        <row r="2">
          <cell r="E2" t="str">
            <v>Económico</v>
          </cell>
        </row>
        <row r="4">
          <cell r="E4" t="str">
            <v>Económico y Reputacional</v>
          </cell>
        </row>
      </sheetData>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70DDDF-22C1-4DBC-B591-1390380B4D93}" name="Tabla2" displayName="Tabla2" ref="H1:Q1048576" totalsRowShown="0">
  <autoFilter ref="H1:Q1048576" xr:uid="{7770DDDF-22C1-4DBC-B591-1390380B4D93}"/>
  <tableColumns count="10">
    <tableColumn id="1" xr3:uid="{25684B83-90E5-474F-ADE9-6F4A1ED098FB}" name="Tipo de Riesgo"/>
    <tableColumn id="2" xr3:uid="{2AE64B3D-8D6A-48F8-A1FE-AA2014238D34}" name="Activos de información"/>
    <tableColumn id="3" xr3:uid="{9E9515D4-A2F8-441B-AFBD-A2D2BF784AA1}" name="Interrupción"/>
    <tableColumn id="4" xr3:uid="{EDADA124-3B2B-4F74-A57D-8BFB7B045AE9}" name="Frecuencia de ejecución de la actividad"/>
    <tableColumn id="5" xr3:uid="{4336B0D8-1824-4FCC-8D30-D18F70B8619A}" name="Criterio para probabilidad"/>
    <tableColumn id="6" xr3:uid="{8AB1769A-A6C6-40AF-9917-B3C5D5647775}" name="Nombre "/>
    <tableColumn id="7" xr3:uid="{ACCAFD86-5B8C-4969-92E5-1FD1CFDC8B81}" name="Objetivo de Control ISO 27001"/>
    <tableColumn id="9" xr3:uid="{31B27B52-8973-4213-A3CD-CB2045BBD090}" name="#" dataDxfId="0"/>
    <tableColumn id="8" xr3:uid="{C6E17333-88EA-434D-8F78-5B279BB0D980}" name="Columna6"/>
    <tableColumn id="10" xr3:uid="{010635FA-CC3A-4E5E-9D44-FDDA37726818}" name="Procesos"/>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2.625" defaultRowHeight="15" customHeight="1" x14ac:dyDescent="0.2"/>
  <cols>
    <col min="1" max="1" width="2.5" customWidth="1"/>
    <col min="2" max="3" width="21.625" customWidth="1"/>
    <col min="4" max="4" width="18.625" customWidth="1"/>
    <col min="5" max="5" width="21.625" customWidth="1"/>
    <col min="6" max="6" width="24.125" customWidth="1"/>
    <col min="7" max="8" width="21.625" customWidth="1"/>
    <col min="9" max="26" width="9.37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166" t="s">
        <v>0</v>
      </c>
      <c r="C2" s="167"/>
      <c r="D2" s="167"/>
      <c r="E2" s="167"/>
      <c r="F2" s="167"/>
      <c r="G2" s="167"/>
      <c r="H2" s="168"/>
      <c r="I2" s="1"/>
      <c r="J2" s="1"/>
      <c r="K2" s="1"/>
      <c r="L2" s="1"/>
      <c r="M2" s="1"/>
      <c r="N2" s="1"/>
      <c r="O2" s="1"/>
      <c r="P2" s="1"/>
      <c r="Q2" s="1"/>
      <c r="R2" s="1"/>
      <c r="S2" s="1"/>
      <c r="T2" s="1"/>
      <c r="U2" s="1"/>
      <c r="V2" s="1"/>
      <c r="W2" s="1"/>
      <c r="X2" s="1"/>
      <c r="Y2" s="1"/>
      <c r="Z2" s="1"/>
    </row>
    <row r="3" spans="1:26" x14ac:dyDescent="0.25">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5">
      <c r="A4" s="1"/>
      <c r="B4" s="169" t="s">
        <v>1</v>
      </c>
      <c r="C4" s="170"/>
      <c r="D4" s="170"/>
      <c r="E4" s="170"/>
      <c r="F4" s="170"/>
      <c r="G4" s="170"/>
      <c r="H4" s="171"/>
      <c r="I4" s="1"/>
      <c r="J4" s="1"/>
      <c r="K4" s="1"/>
      <c r="L4" s="1"/>
      <c r="M4" s="1"/>
      <c r="N4" s="1"/>
      <c r="O4" s="1"/>
      <c r="P4" s="1"/>
      <c r="Q4" s="1"/>
      <c r="R4" s="1"/>
      <c r="S4" s="1"/>
      <c r="T4" s="1"/>
      <c r="U4" s="1"/>
      <c r="V4" s="1"/>
      <c r="W4" s="1"/>
      <c r="X4" s="1"/>
      <c r="Y4" s="1"/>
      <c r="Z4" s="1"/>
    </row>
    <row r="5" spans="1:26" ht="63" customHeight="1" x14ac:dyDescent="0.25">
      <c r="A5" s="1"/>
      <c r="B5" s="172"/>
      <c r="C5" s="173"/>
      <c r="D5" s="173"/>
      <c r="E5" s="173"/>
      <c r="F5" s="173"/>
      <c r="G5" s="173"/>
      <c r="H5" s="174"/>
      <c r="I5" s="1"/>
      <c r="J5" s="1"/>
      <c r="K5" s="1"/>
      <c r="L5" s="1"/>
      <c r="M5" s="1"/>
      <c r="N5" s="1"/>
      <c r="O5" s="1"/>
      <c r="P5" s="1"/>
      <c r="Q5" s="1"/>
      <c r="R5" s="1"/>
      <c r="S5" s="1"/>
      <c r="T5" s="1"/>
      <c r="U5" s="1"/>
      <c r="V5" s="1"/>
      <c r="W5" s="1"/>
      <c r="X5" s="1"/>
      <c r="Y5" s="1"/>
      <c r="Z5" s="1"/>
    </row>
    <row r="6" spans="1:26" x14ac:dyDescent="0.25">
      <c r="A6" s="1"/>
      <c r="B6" s="175" t="s">
        <v>2</v>
      </c>
      <c r="C6" s="176"/>
      <c r="D6" s="176"/>
      <c r="E6" s="176"/>
      <c r="F6" s="176"/>
      <c r="G6" s="176"/>
      <c r="H6" s="177"/>
      <c r="I6" s="1"/>
      <c r="J6" s="1"/>
      <c r="K6" s="1"/>
      <c r="L6" s="1"/>
      <c r="M6" s="1"/>
      <c r="N6" s="1"/>
      <c r="O6" s="1"/>
      <c r="P6" s="1"/>
      <c r="Q6" s="1"/>
      <c r="R6" s="1"/>
      <c r="S6" s="1"/>
      <c r="T6" s="1"/>
      <c r="U6" s="1"/>
      <c r="V6" s="1"/>
      <c r="W6" s="1"/>
      <c r="X6" s="1"/>
      <c r="Y6" s="1"/>
      <c r="Z6" s="1"/>
    </row>
    <row r="7" spans="1:26" ht="95.25" customHeight="1" x14ac:dyDescent="0.25">
      <c r="A7" s="1"/>
      <c r="B7" s="178" t="s">
        <v>3</v>
      </c>
      <c r="C7" s="179"/>
      <c r="D7" s="179"/>
      <c r="E7" s="179"/>
      <c r="F7" s="179"/>
      <c r="G7" s="179"/>
      <c r="H7" s="180"/>
      <c r="I7" s="1"/>
      <c r="J7" s="1"/>
      <c r="K7" s="1"/>
      <c r="L7" s="1"/>
      <c r="M7" s="1"/>
      <c r="N7" s="1"/>
      <c r="O7" s="1"/>
      <c r="P7" s="1"/>
      <c r="Q7" s="1"/>
      <c r="R7" s="1"/>
      <c r="S7" s="1"/>
      <c r="T7" s="1"/>
      <c r="U7" s="1"/>
      <c r="V7" s="1"/>
      <c r="W7" s="1"/>
      <c r="X7" s="1"/>
      <c r="Y7" s="1"/>
      <c r="Z7" s="1"/>
    </row>
    <row r="8" spans="1:26" ht="16.5" x14ac:dyDescent="0.25">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5">
      <c r="A9" s="1"/>
      <c r="B9" s="181" t="s">
        <v>4</v>
      </c>
      <c r="C9" s="170"/>
      <c r="D9" s="170"/>
      <c r="E9" s="170"/>
      <c r="F9" s="170"/>
      <c r="G9" s="170"/>
      <c r="H9" s="171"/>
      <c r="I9" s="1"/>
      <c r="J9" s="1"/>
      <c r="K9" s="1"/>
      <c r="L9" s="1"/>
      <c r="M9" s="1"/>
      <c r="N9" s="1"/>
      <c r="O9" s="1"/>
      <c r="P9" s="1"/>
      <c r="Q9" s="1"/>
      <c r="R9" s="1"/>
      <c r="S9" s="1"/>
      <c r="T9" s="1"/>
      <c r="U9" s="1"/>
      <c r="V9" s="1"/>
      <c r="W9" s="1"/>
      <c r="X9" s="1"/>
      <c r="Y9" s="1"/>
      <c r="Z9" s="1"/>
    </row>
    <row r="10" spans="1:26" ht="44.25" customHeight="1" x14ac:dyDescent="0.25">
      <c r="A10" s="1"/>
      <c r="B10" s="182"/>
      <c r="C10" s="170"/>
      <c r="D10" s="170"/>
      <c r="E10" s="170"/>
      <c r="F10" s="170"/>
      <c r="G10" s="170"/>
      <c r="H10" s="171"/>
      <c r="I10" s="1"/>
      <c r="J10" s="1"/>
      <c r="K10" s="1"/>
      <c r="L10" s="1"/>
      <c r="M10" s="1"/>
      <c r="N10" s="1"/>
      <c r="O10" s="1"/>
      <c r="P10" s="1"/>
      <c r="Q10" s="1"/>
      <c r="R10" s="1"/>
      <c r="S10" s="1"/>
      <c r="T10" s="1"/>
      <c r="U10" s="1"/>
      <c r="V10" s="1"/>
      <c r="W10" s="1"/>
      <c r="X10" s="1"/>
      <c r="Y10" s="1"/>
      <c r="Z10" s="1"/>
    </row>
    <row r="11" spans="1:26" x14ac:dyDescent="0.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5">
      <c r="A12" s="1"/>
      <c r="B12" s="8"/>
      <c r="C12" s="162" t="s">
        <v>5</v>
      </c>
      <c r="D12" s="163"/>
      <c r="E12" s="164" t="s">
        <v>6</v>
      </c>
      <c r="F12" s="165"/>
      <c r="G12" s="9"/>
      <c r="H12" s="12"/>
      <c r="I12" s="1"/>
      <c r="J12" s="1"/>
      <c r="K12" s="1"/>
      <c r="L12" s="1"/>
      <c r="M12" s="1"/>
      <c r="N12" s="1"/>
      <c r="O12" s="1"/>
      <c r="P12" s="1"/>
      <c r="Q12" s="1"/>
      <c r="R12" s="1"/>
      <c r="S12" s="1"/>
      <c r="T12" s="1"/>
      <c r="U12" s="1"/>
      <c r="V12" s="1"/>
      <c r="W12" s="1"/>
      <c r="X12" s="1"/>
      <c r="Y12" s="1"/>
      <c r="Z12" s="1"/>
    </row>
    <row r="13" spans="1:26" ht="35.25" customHeight="1" x14ac:dyDescent="0.25">
      <c r="A13" s="1"/>
      <c r="B13" s="8"/>
      <c r="C13" s="158" t="s">
        <v>7</v>
      </c>
      <c r="D13" s="159"/>
      <c r="E13" s="160" t="s">
        <v>8</v>
      </c>
      <c r="F13" s="161"/>
      <c r="G13" s="9"/>
      <c r="H13" s="12"/>
      <c r="I13" s="1"/>
      <c r="J13" s="1"/>
      <c r="K13" s="1"/>
      <c r="L13" s="1"/>
      <c r="M13" s="1"/>
      <c r="N13" s="1"/>
      <c r="O13" s="1"/>
      <c r="P13" s="1"/>
      <c r="Q13" s="1"/>
      <c r="R13" s="1"/>
      <c r="S13" s="1"/>
      <c r="T13" s="1"/>
      <c r="U13" s="1"/>
      <c r="V13" s="1"/>
      <c r="W13" s="1"/>
      <c r="X13" s="1"/>
      <c r="Y13" s="1"/>
      <c r="Z13" s="1"/>
    </row>
    <row r="14" spans="1:26" ht="17.25" customHeight="1" x14ac:dyDescent="0.25">
      <c r="A14" s="1"/>
      <c r="B14" s="8"/>
      <c r="C14" s="158" t="s">
        <v>9</v>
      </c>
      <c r="D14" s="159"/>
      <c r="E14" s="160" t="s">
        <v>10</v>
      </c>
      <c r="F14" s="161"/>
      <c r="G14" s="9"/>
      <c r="H14" s="12"/>
      <c r="I14" s="1"/>
      <c r="J14" s="1"/>
      <c r="K14" s="1"/>
      <c r="L14" s="1"/>
      <c r="M14" s="1"/>
      <c r="N14" s="1"/>
      <c r="O14" s="1"/>
      <c r="P14" s="1"/>
      <c r="Q14" s="1"/>
      <c r="R14" s="1"/>
      <c r="S14" s="1"/>
      <c r="T14" s="1"/>
      <c r="U14" s="1"/>
      <c r="V14" s="1"/>
      <c r="W14" s="1"/>
      <c r="X14" s="1"/>
      <c r="Y14" s="1"/>
      <c r="Z14" s="1"/>
    </row>
    <row r="15" spans="1:26" ht="19.5" customHeight="1" x14ac:dyDescent="0.25">
      <c r="A15" s="1"/>
      <c r="B15" s="8"/>
      <c r="C15" s="158" t="s">
        <v>11</v>
      </c>
      <c r="D15" s="159"/>
      <c r="E15" s="160" t="s">
        <v>12</v>
      </c>
      <c r="F15" s="161"/>
      <c r="G15" s="9"/>
      <c r="H15" s="12"/>
      <c r="I15" s="1"/>
      <c r="J15" s="1"/>
      <c r="K15" s="1"/>
      <c r="L15" s="1"/>
      <c r="M15" s="1"/>
      <c r="N15" s="1"/>
      <c r="O15" s="1"/>
      <c r="P15" s="1"/>
      <c r="Q15" s="1"/>
      <c r="R15" s="1"/>
      <c r="S15" s="1"/>
      <c r="T15" s="1"/>
      <c r="U15" s="1"/>
      <c r="V15" s="1"/>
      <c r="W15" s="1"/>
      <c r="X15" s="1"/>
      <c r="Y15" s="1"/>
      <c r="Z15" s="1"/>
    </row>
    <row r="16" spans="1:26" ht="69.75" customHeight="1" x14ac:dyDescent="0.25">
      <c r="A16" s="1"/>
      <c r="B16" s="8"/>
      <c r="C16" s="158" t="s">
        <v>13</v>
      </c>
      <c r="D16" s="159"/>
      <c r="E16" s="160" t="s">
        <v>14</v>
      </c>
      <c r="F16" s="161"/>
      <c r="G16" s="9"/>
      <c r="H16" s="12"/>
      <c r="I16" s="1"/>
      <c r="J16" s="1"/>
      <c r="K16" s="1"/>
      <c r="L16" s="1"/>
      <c r="M16" s="1"/>
      <c r="N16" s="1"/>
      <c r="O16" s="1"/>
      <c r="P16" s="1"/>
      <c r="Q16" s="1"/>
      <c r="R16" s="1"/>
      <c r="S16" s="1"/>
      <c r="T16" s="1"/>
      <c r="U16" s="1"/>
      <c r="V16" s="1"/>
      <c r="W16" s="1"/>
      <c r="X16" s="1"/>
      <c r="Y16" s="1"/>
      <c r="Z16" s="1"/>
    </row>
    <row r="17" spans="1:26" ht="34.5" customHeight="1" x14ac:dyDescent="0.25">
      <c r="A17" s="1"/>
      <c r="B17" s="8"/>
      <c r="C17" s="154" t="s">
        <v>15</v>
      </c>
      <c r="D17" s="155"/>
      <c r="E17" s="150" t="s">
        <v>16</v>
      </c>
      <c r="F17" s="151"/>
      <c r="G17" s="9"/>
      <c r="H17" s="12"/>
      <c r="I17" s="1"/>
      <c r="J17" s="1"/>
      <c r="K17" s="1"/>
      <c r="L17" s="1"/>
      <c r="M17" s="1"/>
      <c r="N17" s="1"/>
      <c r="O17" s="1"/>
      <c r="P17" s="1"/>
      <c r="Q17" s="1"/>
      <c r="R17" s="1"/>
      <c r="S17" s="1"/>
      <c r="T17" s="1"/>
      <c r="U17" s="1"/>
      <c r="V17" s="1"/>
      <c r="W17" s="1"/>
      <c r="X17" s="1"/>
      <c r="Y17" s="1"/>
      <c r="Z17" s="1"/>
    </row>
    <row r="18" spans="1:26" ht="27.75" customHeight="1" x14ac:dyDescent="0.25">
      <c r="A18" s="1"/>
      <c r="B18" s="8"/>
      <c r="C18" s="154" t="s">
        <v>17</v>
      </c>
      <c r="D18" s="155"/>
      <c r="E18" s="150" t="s">
        <v>18</v>
      </c>
      <c r="F18" s="151"/>
      <c r="G18" s="9"/>
      <c r="H18" s="12"/>
      <c r="I18" s="1"/>
      <c r="J18" s="1"/>
      <c r="K18" s="1"/>
      <c r="L18" s="1"/>
      <c r="M18" s="1"/>
      <c r="N18" s="1"/>
      <c r="O18" s="1"/>
      <c r="P18" s="1"/>
      <c r="Q18" s="1"/>
      <c r="R18" s="1"/>
      <c r="S18" s="1"/>
      <c r="T18" s="1"/>
      <c r="U18" s="1"/>
      <c r="V18" s="1"/>
      <c r="W18" s="1"/>
      <c r="X18" s="1"/>
      <c r="Y18" s="1"/>
      <c r="Z18" s="1"/>
    </row>
    <row r="19" spans="1:26" ht="28.5" customHeight="1" x14ac:dyDescent="0.25">
      <c r="A19" s="1"/>
      <c r="B19" s="8"/>
      <c r="C19" s="154" t="s">
        <v>19</v>
      </c>
      <c r="D19" s="155"/>
      <c r="E19" s="150" t="s">
        <v>20</v>
      </c>
      <c r="F19" s="151"/>
      <c r="G19" s="9"/>
      <c r="H19" s="12"/>
      <c r="I19" s="1"/>
      <c r="J19" s="1"/>
      <c r="K19" s="1"/>
      <c r="L19" s="1"/>
      <c r="M19" s="1"/>
      <c r="N19" s="1"/>
      <c r="O19" s="1"/>
      <c r="P19" s="1"/>
      <c r="Q19" s="1"/>
      <c r="R19" s="1"/>
      <c r="S19" s="1"/>
      <c r="T19" s="1"/>
      <c r="U19" s="1"/>
      <c r="V19" s="1"/>
      <c r="W19" s="1"/>
      <c r="X19" s="1"/>
      <c r="Y19" s="1"/>
      <c r="Z19" s="1"/>
    </row>
    <row r="20" spans="1:26" ht="72.75" customHeight="1" x14ac:dyDescent="0.25">
      <c r="A20" s="1"/>
      <c r="B20" s="8"/>
      <c r="C20" s="154" t="s">
        <v>21</v>
      </c>
      <c r="D20" s="155"/>
      <c r="E20" s="150" t="s">
        <v>22</v>
      </c>
      <c r="F20" s="151"/>
      <c r="G20" s="9"/>
      <c r="H20" s="12"/>
      <c r="I20" s="1"/>
      <c r="J20" s="1"/>
      <c r="K20" s="1"/>
      <c r="L20" s="1"/>
      <c r="M20" s="1"/>
      <c r="N20" s="1"/>
      <c r="O20" s="1"/>
      <c r="P20" s="1"/>
      <c r="Q20" s="1"/>
      <c r="R20" s="1"/>
      <c r="S20" s="1"/>
      <c r="T20" s="1"/>
      <c r="U20" s="1"/>
      <c r="V20" s="1"/>
      <c r="W20" s="1"/>
      <c r="X20" s="1"/>
      <c r="Y20" s="1"/>
      <c r="Z20" s="1"/>
    </row>
    <row r="21" spans="1:26" ht="64.5" customHeight="1" x14ac:dyDescent="0.25">
      <c r="A21" s="1"/>
      <c r="B21" s="8"/>
      <c r="C21" s="154" t="s">
        <v>23</v>
      </c>
      <c r="D21" s="155"/>
      <c r="E21" s="150" t="s">
        <v>24</v>
      </c>
      <c r="F21" s="151"/>
      <c r="G21" s="9"/>
      <c r="H21" s="12"/>
      <c r="I21" s="1"/>
      <c r="J21" s="1"/>
      <c r="K21" s="1"/>
      <c r="L21" s="1"/>
      <c r="M21" s="1"/>
      <c r="N21" s="1"/>
      <c r="O21" s="1"/>
      <c r="P21" s="1"/>
      <c r="Q21" s="1"/>
      <c r="R21" s="1"/>
      <c r="S21" s="1"/>
      <c r="T21" s="1"/>
      <c r="U21" s="1"/>
      <c r="V21" s="1"/>
      <c r="W21" s="1"/>
      <c r="X21" s="1"/>
      <c r="Y21" s="1"/>
      <c r="Z21" s="1"/>
    </row>
    <row r="22" spans="1:26" ht="71.25" customHeight="1" x14ac:dyDescent="0.25">
      <c r="A22" s="1"/>
      <c r="B22" s="8"/>
      <c r="C22" s="154" t="s">
        <v>25</v>
      </c>
      <c r="D22" s="155"/>
      <c r="E22" s="150" t="s">
        <v>26</v>
      </c>
      <c r="F22" s="151"/>
      <c r="G22" s="9"/>
      <c r="H22" s="12"/>
      <c r="I22" s="1"/>
      <c r="J22" s="1"/>
      <c r="K22" s="1"/>
      <c r="L22" s="1"/>
      <c r="M22" s="1"/>
      <c r="N22" s="1"/>
      <c r="O22" s="1"/>
      <c r="P22" s="1"/>
      <c r="Q22" s="1"/>
      <c r="R22" s="1"/>
      <c r="S22" s="1"/>
      <c r="T22" s="1"/>
      <c r="U22" s="1"/>
      <c r="V22" s="1"/>
      <c r="W22" s="1"/>
      <c r="X22" s="1"/>
      <c r="Y22" s="1"/>
      <c r="Z22" s="1"/>
    </row>
    <row r="23" spans="1:26" ht="55.5" customHeight="1" x14ac:dyDescent="0.25">
      <c r="A23" s="1"/>
      <c r="B23" s="8"/>
      <c r="C23" s="154" t="s">
        <v>27</v>
      </c>
      <c r="D23" s="155"/>
      <c r="E23" s="150" t="s">
        <v>28</v>
      </c>
      <c r="F23" s="151"/>
      <c r="G23" s="9"/>
      <c r="H23" s="12"/>
      <c r="I23" s="1"/>
      <c r="J23" s="1"/>
      <c r="K23" s="1"/>
      <c r="L23" s="1"/>
      <c r="M23" s="1"/>
      <c r="N23" s="1"/>
      <c r="O23" s="1"/>
      <c r="P23" s="1"/>
      <c r="Q23" s="1"/>
      <c r="R23" s="1"/>
      <c r="S23" s="1"/>
      <c r="T23" s="1"/>
      <c r="U23" s="1"/>
      <c r="V23" s="1"/>
      <c r="W23" s="1"/>
      <c r="X23" s="1"/>
      <c r="Y23" s="1"/>
      <c r="Z23" s="1"/>
    </row>
    <row r="24" spans="1:26" ht="42" customHeight="1" x14ac:dyDescent="0.25">
      <c r="A24" s="1"/>
      <c r="B24" s="8"/>
      <c r="C24" s="154" t="s">
        <v>29</v>
      </c>
      <c r="D24" s="155"/>
      <c r="E24" s="150" t="s">
        <v>30</v>
      </c>
      <c r="F24" s="151"/>
      <c r="G24" s="9"/>
      <c r="H24" s="12"/>
      <c r="I24" s="1"/>
      <c r="J24" s="1"/>
      <c r="K24" s="1"/>
      <c r="L24" s="1"/>
      <c r="M24" s="1"/>
      <c r="N24" s="1"/>
      <c r="O24" s="1"/>
      <c r="P24" s="1"/>
      <c r="Q24" s="1"/>
      <c r="R24" s="1"/>
      <c r="S24" s="1"/>
      <c r="T24" s="1"/>
      <c r="U24" s="1"/>
      <c r="V24" s="1"/>
      <c r="W24" s="1"/>
      <c r="X24" s="1"/>
      <c r="Y24" s="1"/>
      <c r="Z24" s="1"/>
    </row>
    <row r="25" spans="1:26" ht="59.25" customHeight="1" x14ac:dyDescent="0.25">
      <c r="A25" s="1"/>
      <c r="B25" s="8"/>
      <c r="C25" s="154" t="s">
        <v>31</v>
      </c>
      <c r="D25" s="155"/>
      <c r="E25" s="150" t="s">
        <v>32</v>
      </c>
      <c r="F25" s="151"/>
      <c r="G25" s="9"/>
      <c r="H25" s="12"/>
      <c r="I25" s="1"/>
      <c r="J25" s="1"/>
      <c r="K25" s="1"/>
      <c r="L25" s="1"/>
      <c r="M25" s="1"/>
      <c r="N25" s="1"/>
      <c r="O25" s="1"/>
      <c r="P25" s="1"/>
      <c r="Q25" s="1"/>
      <c r="R25" s="1"/>
      <c r="S25" s="1"/>
      <c r="T25" s="1"/>
      <c r="U25" s="1"/>
      <c r="V25" s="1"/>
      <c r="W25" s="1"/>
      <c r="X25" s="1"/>
      <c r="Y25" s="1"/>
      <c r="Z25" s="1"/>
    </row>
    <row r="26" spans="1:26" ht="23.25" customHeight="1" x14ac:dyDescent="0.25">
      <c r="A26" s="1"/>
      <c r="B26" s="8"/>
      <c r="C26" s="154" t="s">
        <v>33</v>
      </c>
      <c r="D26" s="155"/>
      <c r="E26" s="150" t="s">
        <v>34</v>
      </c>
      <c r="F26" s="151"/>
      <c r="G26" s="9"/>
      <c r="H26" s="12"/>
      <c r="I26" s="1"/>
      <c r="J26" s="1"/>
      <c r="K26" s="1"/>
      <c r="L26" s="1"/>
      <c r="M26" s="1"/>
      <c r="N26" s="1"/>
      <c r="O26" s="1"/>
      <c r="P26" s="1"/>
      <c r="Q26" s="1"/>
      <c r="R26" s="1"/>
      <c r="S26" s="1"/>
      <c r="T26" s="1"/>
      <c r="U26" s="1"/>
      <c r="V26" s="1"/>
      <c r="W26" s="1"/>
      <c r="X26" s="1"/>
      <c r="Y26" s="1"/>
      <c r="Z26" s="1"/>
    </row>
    <row r="27" spans="1:26" ht="30.75" customHeight="1" x14ac:dyDescent="0.25">
      <c r="A27" s="1"/>
      <c r="B27" s="8"/>
      <c r="C27" s="154" t="s">
        <v>35</v>
      </c>
      <c r="D27" s="155"/>
      <c r="E27" s="150" t="s">
        <v>36</v>
      </c>
      <c r="F27" s="151"/>
      <c r="G27" s="9"/>
      <c r="H27" s="12"/>
      <c r="I27" s="1"/>
      <c r="J27" s="1"/>
      <c r="K27" s="1"/>
      <c r="L27" s="1"/>
      <c r="M27" s="1"/>
      <c r="N27" s="1"/>
      <c r="O27" s="1"/>
      <c r="P27" s="1"/>
      <c r="Q27" s="1"/>
      <c r="R27" s="1"/>
      <c r="S27" s="1"/>
      <c r="T27" s="1"/>
      <c r="U27" s="1"/>
      <c r="V27" s="1"/>
      <c r="W27" s="1"/>
      <c r="X27" s="1"/>
      <c r="Y27" s="1"/>
      <c r="Z27" s="1"/>
    </row>
    <row r="28" spans="1:26" ht="35.25" customHeight="1" x14ac:dyDescent="0.25">
      <c r="A28" s="1"/>
      <c r="B28" s="8"/>
      <c r="C28" s="154" t="s">
        <v>37</v>
      </c>
      <c r="D28" s="155"/>
      <c r="E28" s="150" t="s">
        <v>38</v>
      </c>
      <c r="F28" s="151"/>
      <c r="G28" s="9"/>
      <c r="H28" s="12"/>
      <c r="I28" s="1"/>
      <c r="J28" s="1"/>
      <c r="K28" s="1"/>
      <c r="L28" s="1"/>
      <c r="M28" s="1"/>
      <c r="N28" s="1"/>
      <c r="O28" s="1"/>
      <c r="P28" s="1"/>
      <c r="Q28" s="1"/>
      <c r="R28" s="1"/>
      <c r="S28" s="1"/>
      <c r="T28" s="1"/>
      <c r="U28" s="1"/>
      <c r="V28" s="1"/>
      <c r="W28" s="1"/>
      <c r="X28" s="1"/>
      <c r="Y28" s="1"/>
      <c r="Z28" s="1"/>
    </row>
    <row r="29" spans="1:26" ht="33" customHeight="1" x14ac:dyDescent="0.25">
      <c r="A29" s="1"/>
      <c r="B29" s="8"/>
      <c r="C29" s="154" t="s">
        <v>39</v>
      </c>
      <c r="D29" s="155"/>
      <c r="E29" s="150" t="s">
        <v>38</v>
      </c>
      <c r="F29" s="151"/>
      <c r="G29" s="9"/>
      <c r="H29" s="12"/>
      <c r="I29" s="1"/>
      <c r="J29" s="1"/>
      <c r="K29" s="1"/>
      <c r="L29" s="1"/>
      <c r="M29" s="1"/>
      <c r="N29" s="1"/>
      <c r="O29" s="1"/>
      <c r="P29" s="1"/>
      <c r="Q29" s="1"/>
      <c r="R29" s="1"/>
      <c r="S29" s="1"/>
      <c r="T29" s="1"/>
      <c r="U29" s="1"/>
      <c r="V29" s="1"/>
      <c r="W29" s="1"/>
      <c r="X29" s="1"/>
      <c r="Y29" s="1"/>
      <c r="Z29" s="1"/>
    </row>
    <row r="30" spans="1:26" ht="30" customHeight="1" x14ac:dyDescent="0.25">
      <c r="A30" s="1"/>
      <c r="B30" s="8"/>
      <c r="C30" s="154" t="s">
        <v>40</v>
      </c>
      <c r="D30" s="155"/>
      <c r="E30" s="150" t="s">
        <v>41</v>
      </c>
      <c r="F30" s="151"/>
      <c r="G30" s="9"/>
      <c r="H30" s="12"/>
      <c r="I30" s="1"/>
      <c r="J30" s="1"/>
      <c r="K30" s="1"/>
      <c r="L30" s="1"/>
      <c r="M30" s="1"/>
      <c r="N30" s="1"/>
      <c r="O30" s="1"/>
      <c r="P30" s="1"/>
      <c r="Q30" s="1"/>
      <c r="R30" s="1"/>
      <c r="S30" s="1"/>
      <c r="T30" s="1"/>
      <c r="U30" s="1"/>
      <c r="V30" s="1"/>
      <c r="W30" s="1"/>
      <c r="X30" s="1"/>
      <c r="Y30" s="1"/>
      <c r="Z30" s="1"/>
    </row>
    <row r="31" spans="1:26" ht="35.25" customHeight="1" x14ac:dyDescent="0.25">
      <c r="A31" s="1"/>
      <c r="B31" s="8"/>
      <c r="C31" s="154" t="s">
        <v>42</v>
      </c>
      <c r="D31" s="155"/>
      <c r="E31" s="150" t="s">
        <v>43</v>
      </c>
      <c r="F31" s="151"/>
      <c r="G31" s="9"/>
      <c r="H31" s="12"/>
      <c r="I31" s="1"/>
      <c r="J31" s="1"/>
      <c r="K31" s="1"/>
      <c r="L31" s="1"/>
      <c r="M31" s="1"/>
      <c r="N31" s="1"/>
      <c r="O31" s="1"/>
      <c r="P31" s="1"/>
      <c r="Q31" s="1"/>
      <c r="R31" s="1"/>
      <c r="S31" s="1"/>
      <c r="T31" s="1"/>
      <c r="U31" s="1"/>
      <c r="V31" s="1"/>
      <c r="W31" s="1"/>
      <c r="X31" s="1"/>
      <c r="Y31" s="1"/>
      <c r="Z31" s="1"/>
    </row>
    <row r="32" spans="1:26" ht="31.5" customHeight="1" x14ac:dyDescent="0.25">
      <c r="A32" s="1"/>
      <c r="B32" s="8"/>
      <c r="C32" s="154" t="s">
        <v>44</v>
      </c>
      <c r="D32" s="155"/>
      <c r="E32" s="150" t="s">
        <v>45</v>
      </c>
      <c r="F32" s="151"/>
      <c r="G32" s="9"/>
      <c r="H32" s="12"/>
      <c r="I32" s="1"/>
      <c r="J32" s="1"/>
      <c r="K32" s="1"/>
      <c r="L32" s="1"/>
      <c r="M32" s="1"/>
      <c r="N32" s="1"/>
      <c r="O32" s="1"/>
      <c r="P32" s="1"/>
      <c r="Q32" s="1"/>
      <c r="R32" s="1"/>
      <c r="S32" s="1"/>
      <c r="T32" s="1"/>
      <c r="U32" s="1"/>
      <c r="V32" s="1"/>
      <c r="W32" s="1"/>
      <c r="X32" s="1"/>
      <c r="Y32" s="1"/>
      <c r="Z32" s="1"/>
    </row>
    <row r="33" spans="1:26" ht="35.25" customHeight="1" x14ac:dyDescent="0.25">
      <c r="A33" s="1"/>
      <c r="B33" s="8"/>
      <c r="C33" s="154" t="s">
        <v>46</v>
      </c>
      <c r="D33" s="155"/>
      <c r="E33" s="150" t="s">
        <v>47</v>
      </c>
      <c r="F33" s="151"/>
      <c r="G33" s="9"/>
      <c r="H33" s="12"/>
      <c r="I33" s="1"/>
      <c r="J33" s="1"/>
      <c r="K33" s="1"/>
      <c r="L33" s="1"/>
      <c r="M33" s="1"/>
      <c r="N33" s="1"/>
      <c r="O33" s="1"/>
      <c r="P33" s="1"/>
      <c r="Q33" s="1"/>
      <c r="R33" s="1"/>
      <c r="S33" s="1"/>
      <c r="T33" s="1"/>
      <c r="U33" s="1"/>
      <c r="V33" s="1"/>
      <c r="W33" s="1"/>
      <c r="X33" s="1"/>
      <c r="Y33" s="1"/>
      <c r="Z33" s="1"/>
    </row>
    <row r="34" spans="1:26" ht="59.25" customHeight="1" x14ac:dyDescent="0.25">
      <c r="A34" s="1"/>
      <c r="B34" s="8"/>
      <c r="C34" s="154" t="s">
        <v>48</v>
      </c>
      <c r="D34" s="155"/>
      <c r="E34" s="150" t="s">
        <v>49</v>
      </c>
      <c r="F34" s="151"/>
      <c r="G34" s="9"/>
      <c r="H34" s="12"/>
      <c r="I34" s="1"/>
      <c r="J34" s="1"/>
      <c r="K34" s="1"/>
      <c r="L34" s="1"/>
      <c r="M34" s="1"/>
      <c r="N34" s="1"/>
      <c r="O34" s="1"/>
      <c r="P34" s="1"/>
      <c r="Q34" s="1"/>
      <c r="R34" s="1"/>
      <c r="S34" s="1"/>
      <c r="T34" s="1"/>
      <c r="U34" s="1"/>
      <c r="V34" s="1"/>
      <c r="W34" s="1"/>
      <c r="X34" s="1"/>
      <c r="Y34" s="1"/>
      <c r="Z34" s="1"/>
    </row>
    <row r="35" spans="1:26" ht="29.25" customHeight="1" x14ac:dyDescent="0.25">
      <c r="A35" s="1"/>
      <c r="B35" s="8"/>
      <c r="C35" s="154" t="s">
        <v>50</v>
      </c>
      <c r="D35" s="155"/>
      <c r="E35" s="150" t="s">
        <v>51</v>
      </c>
      <c r="F35" s="151"/>
      <c r="G35" s="9"/>
      <c r="H35" s="12"/>
      <c r="I35" s="1"/>
      <c r="J35" s="1"/>
      <c r="K35" s="1"/>
      <c r="L35" s="1"/>
      <c r="M35" s="1"/>
      <c r="N35" s="1"/>
      <c r="O35" s="1"/>
      <c r="P35" s="1"/>
      <c r="Q35" s="1"/>
      <c r="R35" s="1"/>
      <c r="S35" s="1"/>
      <c r="T35" s="1"/>
      <c r="U35" s="1"/>
      <c r="V35" s="1"/>
      <c r="W35" s="1"/>
      <c r="X35" s="1"/>
      <c r="Y35" s="1"/>
      <c r="Z35" s="1"/>
    </row>
    <row r="36" spans="1:26" ht="82.5" customHeight="1" x14ac:dyDescent="0.25">
      <c r="A36" s="1"/>
      <c r="B36" s="8"/>
      <c r="C36" s="154" t="s">
        <v>52</v>
      </c>
      <c r="D36" s="155"/>
      <c r="E36" s="150" t="s">
        <v>53</v>
      </c>
      <c r="F36" s="151"/>
      <c r="G36" s="9"/>
      <c r="H36" s="12"/>
      <c r="I36" s="1"/>
      <c r="J36" s="1"/>
      <c r="K36" s="1"/>
      <c r="L36" s="1"/>
      <c r="M36" s="1"/>
      <c r="N36" s="1"/>
      <c r="O36" s="1"/>
      <c r="P36" s="1"/>
      <c r="Q36" s="1"/>
      <c r="R36" s="1"/>
      <c r="S36" s="1"/>
      <c r="T36" s="1"/>
      <c r="U36" s="1"/>
      <c r="V36" s="1"/>
      <c r="W36" s="1"/>
      <c r="X36" s="1"/>
      <c r="Y36" s="1"/>
      <c r="Z36" s="1"/>
    </row>
    <row r="37" spans="1:26" ht="46.5" customHeight="1" x14ac:dyDescent="0.25">
      <c r="A37" s="1"/>
      <c r="B37" s="8"/>
      <c r="C37" s="154" t="s">
        <v>54</v>
      </c>
      <c r="D37" s="155"/>
      <c r="E37" s="150" t="s">
        <v>55</v>
      </c>
      <c r="F37" s="151"/>
      <c r="G37" s="9"/>
      <c r="H37" s="12"/>
      <c r="I37" s="1"/>
      <c r="J37" s="1"/>
      <c r="K37" s="1"/>
      <c r="L37" s="1"/>
      <c r="M37" s="1"/>
      <c r="N37" s="1"/>
      <c r="O37" s="1"/>
      <c r="P37" s="1"/>
      <c r="Q37" s="1"/>
      <c r="R37" s="1"/>
      <c r="S37" s="1"/>
      <c r="T37" s="1"/>
      <c r="U37" s="1"/>
      <c r="V37" s="1"/>
      <c r="W37" s="1"/>
      <c r="X37" s="1"/>
      <c r="Y37" s="1"/>
      <c r="Z37" s="1"/>
    </row>
    <row r="38" spans="1:26" ht="6.75" customHeight="1" x14ac:dyDescent="0.25">
      <c r="A38" s="1"/>
      <c r="B38" s="8"/>
      <c r="C38" s="156"/>
      <c r="D38" s="157"/>
      <c r="E38" s="152"/>
      <c r="F38" s="153"/>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5">
      <c r="A40" s="1"/>
      <c r="B40" s="147" t="s">
        <v>56</v>
      </c>
      <c r="C40" s="148"/>
      <c r="D40" s="148"/>
      <c r="E40" s="148"/>
      <c r="F40" s="148"/>
      <c r="G40" s="148"/>
      <c r="H40" s="149"/>
      <c r="I40" s="1"/>
      <c r="J40" s="1"/>
      <c r="K40" s="1"/>
      <c r="L40" s="1"/>
      <c r="M40" s="1"/>
      <c r="N40" s="1"/>
      <c r="O40" s="1"/>
      <c r="P40" s="1"/>
      <c r="Q40" s="1"/>
      <c r="R40" s="1"/>
      <c r="S40" s="1"/>
      <c r="T40" s="1"/>
      <c r="U40" s="1"/>
      <c r="V40" s="1"/>
      <c r="W40" s="1"/>
      <c r="X40" s="1"/>
      <c r="Y40" s="1"/>
      <c r="Z40" s="1"/>
    </row>
    <row r="41" spans="1:26" ht="20.25" customHeight="1" x14ac:dyDescent="0.25">
      <c r="A41" s="1"/>
      <c r="B41" s="147" t="s">
        <v>57</v>
      </c>
      <c r="C41" s="148"/>
      <c r="D41" s="148"/>
      <c r="E41" s="148"/>
      <c r="F41" s="148"/>
      <c r="G41" s="148"/>
      <c r="H41" s="149"/>
      <c r="I41" s="1"/>
      <c r="J41" s="1"/>
      <c r="K41" s="1"/>
      <c r="L41" s="1"/>
      <c r="M41" s="1"/>
      <c r="N41" s="1"/>
      <c r="O41" s="1"/>
      <c r="P41" s="1"/>
      <c r="Q41" s="1"/>
      <c r="R41" s="1"/>
      <c r="S41" s="1"/>
      <c r="T41" s="1"/>
      <c r="U41" s="1"/>
      <c r="V41" s="1"/>
      <c r="W41" s="1"/>
      <c r="X41" s="1"/>
      <c r="Y41" s="1"/>
      <c r="Z41" s="1"/>
    </row>
    <row r="42" spans="1:26" ht="20.25" customHeight="1" x14ac:dyDescent="0.25">
      <c r="A42" s="1"/>
      <c r="B42" s="147" t="s">
        <v>58</v>
      </c>
      <c r="C42" s="148"/>
      <c r="D42" s="148"/>
      <c r="E42" s="148"/>
      <c r="F42" s="148"/>
      <c r="G42" s="148"/>
      <c r="H42" s="149"/>
      <c r="I42" s="1"/>
      <c r="J42" s="1"/>
      <c r="K42" s="1"/>
      <c r="L42" s="1"/>
      <c r="M42" s="1"/>
      <c r="N42" s="1"/>
      <c r="O42" s="1"/>
      <c r="P42" s="1"/>
      <c r="Q42" s="1"/>
      <c r="R42" s="1"/>
      <c r="S42" s="1"/>
      <c r="T42" s="1"/>
      <c r="U42" s="1"/>
      <c r="V42" s="1"/>
      <c r="W42" s="1"/>
      <c r="X42" s="1"/>
      <c r="Y42" s="1"/>
      <c r="Z42" s="1"/>
    </row>
    <row r="43" spans="1:26" ht="20.25" customHeight="1" x14ac:dyDescent="0.25">
      <c r="A43" s="1"/>
      <c r="B43" s="147" t="s">
        <v>59</v>
      </c>
      <c r="C43" s="148"/>
      <c r="D43" s="148"/>
      <c r="E43" s="148"/>
      <c r="F43" s="148"/>
      <c r="G43" s="148"/>
      <c r="H43" s="149"/>
      <c r="I43" s="1"/>
      <c r="J43" s="1"/>
      <c r="K43" s="1"/>
      <c r="L43" s="1"/>
      <c r="M43" s="1"/>
      <c r="N43" s="1"/>
      <c r="O43" s="1"/>
      <c r="P43" s="1"/>
      <c r="Q43" s="1"/>
      <c r="R43" s="1"/>
      <c r="S43" s="1"/>
      <c r="T43" s="1"/>
      <c r="U43" s="1"/>
      <c r="V43" s="1"/>
      <c r="W43" s="1"/>
      <c r="X43" s="1"/>
      <c r="Y43" s="1"/>
      <c r="Z43" s="1"/>
    </row>
    <row r="44" spans="1:26" ht="15.75" customHeight="1" x14ac:dyDescent="0.25">
      <c r="A44" s="1"/>
      <c r="B44" s="147" t="s">
        <v>60</v>
      </c>
      <c r="C44" s="148"/>
      <c r="D44" s="148"/>
      <c r="E44" s="148"/>
      <c r="F44" s="148"/>
      <c r="G44" s="148"/>
      <c r="H44" s="149"/>
      <c r="I44" s="1"/>
      <c r="J44" s="1"/>
      <c r="K44" s="1"/>
      <c r="L44" s="1"/>
      <c r="M44" s="1"/>
      <c r="N44" s="1"/>
      <c r="O44" s="1"/>
      <c r="P44" s="1"/>
      <c r="Q44" s="1"/>
      <c r="R44" s="1"/>
      <c r="S44" s="1"/>
      <c r="T44" s="1"/>
      <c r="U44" s="1"/>
      <c r="V44" s="1"/>
      <c r="W44" s="1"/>
      <c r="X44" s="1"/>
      <c r="Y44" s="1"/>
      <c r="Z44" s="1"/>
    </row>
    <row r="45" spans="1:26" ht="15.75" customHeight="1" x14ac:dyDescent="0.25">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2:H2"/>
    <mergeCell ref="B4:H5"/>
    <mergeCell ref="B6:H6"/>
    <mergeCell ref="B7:H7"/>
    <mergeCell ref="B9:H10"/>
    <mergeCell ref="C12:D12"/>
    <mergeCell ref="E12:F12"/>
    <mergeCell ref="C13:D13"/>
    <mergeCell ref="E13:F13"/>
    <mergeCell ref="C14:D14"/>
    <mergeCell ref="E14:F14"/>
    <mergeCell ref="C15:D15"/>
    <mergeCell ref="E15:F15"/>
    <mergeCell ref="E16:F16"/>
    <mergeCell ref="C16:D16"/>
    <mergeCell ref="C17:D17"/>
    <mergeCell ref="E17:F17"/>
    <mergeCell ref="C18:D18"/>
    <mergeCell ref="C19:D19"/>
    <mergeCell ref="C20:D20"/>
    <mergeCell ref="C21:D21"/>
    <mergeCell ref="C22:D22"/>
    <mergeCell ref="E18:F18"/>
    <mergeCell ref="E19:F19"/>
    <mergeCell ref="E20:F20"/>
    <mergeCell ref="E21:F21"/>
    <mergeCell ref="E22:F22"/>
    <mergeCell ref="E23:F23"/>
    <mergeCell ref="C23:D23"/>
    <mergeCell ref="C24:D24"/>
    <mergeCell ref="C25:D25"/>
    <mergeCell ref="C26:D26"/>
    <mergeCell ref="C27:D27"/>
    <mergeCell ref="C28:D28"/>
    <mergeCell ref="C29:D29"/>
    <mergeCell ref="E24:F24"/>
    <mergeCell ref="E25:F25"/>
    <mergeCell ref="E26:F26"/>
    <mergeCell ref="E27:F27"/>
    <mergeCell ref="E28:F28"/>
    <mergeCell ref="E29:F29"/>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B43:H43"/>
    <mergeCell ref="B44:H44"/>
    <mergeCell ref="E31:F31"/>
    <mergeCell ref="E32:F32"/>
    <mergeCell ref="E33:F33"/>
    <mergeCell ref="E34:F34"/>
    <mergeCell ref="E35:F35"/>
    <mergeCell ref="E36:F36"/>
    <mergeCell ref="E37:F3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D1050"/>
  <sheetViews>
    <sheetView tabSelected="1" topLeftCell="A8" zoomScale="55" zoomScaleNormal="55" workbookViewId="0">
      <pane xSplit="2" ySplit="2" topLeftCell="G104" activePane="bottomRight" state="frozen"/>
      <selection activeCell="A8" sqref="A8"/>
      <selection pane="topRight" activeCell="B8" sqref="B8"/>
      <selection pane="bottomLeft" activeCell="A10" sqref="A10"/>
      <selection pane="bottomRight" activeCell="AQ107" sqref="AQ107"/>
    </sheetView>
  </sheetViews>
  <sheetFormatPr baseColWidth="10" defaultColWidth="12.625" defaultRowHeight="15" customHeight="1" x14ac:dyDescent="0.2"/>
  <cols>
    <col min="2" max="2" width="17.125" customWidth="1"/>
    <col min="3" max="3" width="12.375" customWidth="1"/>
    <col min="4" max="4" width="12.125" customWidth="1"/>
    <col min="5" max="5" width="18.125" hidden="1" customWidth="1"/>
    <col min="6" max="6" width="31.625" customWidth="1"/>
    <col min="7" max="7" width="28.625" customWidth="1"/>
    <col min="8" max="8" width="35.125" customWidth="1"/>
    <col min="9" max="9" width="16.625" customWidth="1"/>
    <col min="10" max="11" width="15.625" customWidth="1"/>
    <col min="12" max="12" width="17.125" customWidth="1"/>
    <col min="13" max="13" width="5.5" customWidth="1"/>
    <col min="14" max="14" width="23.875" customWidth="1"/>
    <col min="15" max="15" width="26.625" hidden="1" customWidth="1"/>
    <col min="16" max="34" width="10.125" hidden="1" customWidth="1"/>
    <col min="35" max="35" width="15.375" customWidth="1"/>
    <col min="36" max="36" width="5.5" customWidth="1"/>
    <col min="37" max="37" width="14" customWidth="1"/>
    <col min="38" max="38" width="5.125" customWidth="1"/>
    <col min="39" max="39" width="17.125" hidden="1" customWidth="1"/>
    <col min="40" max="40" width="9.125" hidden="1" customWidth="1"/>
    <col min="41" max="41" width="22.375" hidden="1" customWidth="1"/>
    <col min="42" max="42" width="27.125" customWidth="1"/>
    <col min="43" max="43" width="13.125" customWidth="1"/>
    <col min="44" max="44" width="6" customWidth="1"/>
    <col min="45" max="45" width="4.375" customWidth="1"/>
    <col min="46" max="46" width="4.875" customWidth="1"/>
    <col min="47" max="47" width="6.125" customWidth="1"/>
    <col min="48" max="48" width="5.875" customWidth="1"/>
    <col min="49" max="49" width="6.625" customWidth="1"/>
    <col min="50" max="50" width="7.875" customWidth="1"/>
    <col min="51" max="51" width="7.625" customWidth="1"/>
    <col min="52" max="52" width="9.125" customWidth="1"/>
    <col min="53" max="53" width="8.125" customWidth="1"/>
    <col min="54" max="54" width="8" customWidth="1"/>
    <col min="55" max="55" width="7.375" customWidth="1"/>
    <col min="56" max="56" width="6.375" customWidth="1"/>
    <col min="57" max="57" width="20.125" customWidth="1"/>
    <col min="58" max="58" width="16.5" customWidth="1"/>
    <col min="59" max="59" width="14.625" customWidth="1"/>
    <col min="60" max="60" width="13" customWidth="1"/>
    <col min="61" max="61" width="16.125" customWidth="1"/>
    <col min="62" max="62" width="18.375" customWidth="1"/>
    <col min="63" max="82" width="10" customWidth="1"/>
  </cols>
  <sheetData>
    <row r="1" spans="1:82" ht="16.5" customHeight="1" x14ac:dyDescent="0.3">
      <c r="B1" s="210" t="s">
        <v>211</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2"/>
      <c r="BK1" s="18"/>
      <c r="BL1" s="18"/>
      <c r="BM1" s="18"/>
      <c r="BN1" s="18"/>
      <c r="BO1" s="18"/>
      <c r="BP1" s="18"/>
      <c r="BQ1" s="18"/>
      <c r="BR1" s="18"/>
      <c r="BS1" s="18"/>
      <c r="BT1" s="18"/>
      <c r="BU1" s="18"/>
      <c r="BV1" s="18"/>
      <c r="BW1" s="18"/>
      <c r="BX1" s="18"/>
      <c r="BY1" s="18"/>
      <c r="BZ1" s="18"/>
      <c r="CA1" s="18"/>
      <c r="CB1" s="18"/>
      <c r="CC1" s="18"/>
      <c r="CD1" s="18"/>
    </row>
    <row r="2" spans="1:82" ht="24" customHeight="1" x14ac:dyDescent="0.3">
      <c r="B2" s="213"/>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5"/>
      <c r="BK2" s="18"/>
      <c r="BL2" s="18"/>
      <c r="BM2" s="18"/>
      <c r="BN2" s="18"/>
      <c r="BO2" s="18"/>
      <c r="BP2" s="18"/>
      <c r="BQ2" s="18"/>
      <c r="BR2" s="18"/>
      <c r="BS2" s="18"/>
      <c r="BT2" s="18"/>
      <c r="BU2" s="18"/>
      <c r="BV2" s="18"/>
      <c r="BW2" s="18"/>
      <c r="BX2" s="18"/>
      <c r="BY2" s="18"/>
      <c r="BZ2" s="18"/>
      <c r="CA2" s="18"/>
      <c r="CB2" s="18"/>
      <c r="CC2" s="18"/>
      <c r="CD2" s="18"/>
    </row>
    <row r="3" spans="1:82" ht="16.5" customHeight="1" x14ac:dyDescent="0.3">
      <c r="B3" s="19"/>
      <c r="C3" s="20"/>
      <c r="D3" s="19"/>
      <c r="E3" s="19"/>
      <c r="F3" s="19"/>
      <c r="G3" s="19"/>
      <c r="H3" s="18"/>
      <c r="I3" s="21"/>
      <c r="J3" s="18"/>
      <c r="K3" s="18"/>
      <c r="L3" s="18"/>
      <c r="M3" s="18"/>
      <c r="N3" s="18"/>
      <c r="O3" s="18"/>
      <c r="P3" s="118"/>
      <c r="Q3" s="118"/>
      <c r="R3" s="118"/>
      <c r="S3" s="118"/>
      <c r="T3" s="118"/>
      <c r="U3" s="118"/>
      <c r="V3" s="118"/>
      <c r="W3" s="118"/>
      <c r="X3" s="118"/>
      <c r="Y3" s="118"/>
      <c r="Z3" s="118"/>
      <c r="AA3" s="118"/>
      <c r="AB3" s="118"/>
      <c r="AC3" s="118"/>
      <c r="AD3" s="118"/>
      <c r="AE3" s="118"/>
      <c r="AF3" s="118"/>
      <c r="AG3" s="118"/>
      <c r="AH3" s="118"/>
      <c r="AI3" s="18"/>
      <c r="AJ3" s="18"/>
      <c r="AK3" s="18"/>
      <c r="AL3" s="18"/>
      <c r="AM3" s="118"/>
      <c r="AN3" s="1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row>
    <row r="4" spans="1:82" ht="26.25" customHeight="1" x14ac:dyDescent="0.3">
      <c r="B4" s="216" t="s">
        <v>61</v>
      </c>
      <c r="C4" s="217"/>
      <c r="D4" s="207"/>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8"/>
      <c r="AK4" s="209"/>
      <c r="AL4" s="218"/>
      <c r="AM4" s="219"/>
      <c r="AN4" s="219"/>
      <c r="AO4" s="219"/>
      <c r="AP4" s="148"/>
      <c r="AQ4" s="220"/>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row>
    <row r="5" spans="1:82" ht="30" customHeight="1" x14ac:dyDescent="0.3">
      <c r="B5" s="216" t="s">
        <v>62</v>
      </c>
      <c r="C5" s="217"/>
      <c r="D5" s="207"/>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9"/>
      <c r="AL5" s="18"/>
      <c r="AM5" s="118"/>
      <c r="AN5" s="1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row>
    <row r="6" spans="1:82" ht="49.5" customHeight="1" x14ac:dyDescent="0.3">
      <c r="B6" s="216" t="s">
        <v>63</v>
      </c>
      <c r="C6" s="217"/>
      <c r="D6" s="207"/>
      <c r="E6" s="208"/>
      <c r="F6" s="208"/>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9"/>
      <c r="AL6" s="18"/>
      <c r="AM6" s="118"/>
      <c r="AN6" s="1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row>
    <row r="7" spans="1:82" ht="40.5" customHeight="1" x14ac:dyDescent="0.35">
      <c r="A7" s="122"/>
      <c r="B7" s="221" t="s">
        <v>64</v>
      </c>
      <c r="C7" s="211"/>
      <c r="D7" s="211"/>
      <c r="E7" s="211"/>
      <c r="F7" s="211"/>
      <c r="G7" s="211"/>
      <c r="H7" s="211"/>
      <c r="I7" s="211"/>
      <c r="J7" s="211"/>
      <c r="K7" s="212"/>
      <c r="L7" s="222" t="s">
        <v>65</v>
      </c>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4"/>
      <c r="AL7" s="221" t="s">
        <v>66</v>
      </c>
      <c r="AM7" s="225"/>
      <c r="AN7" s="225"/>
      <c r="AO7" s="225"/>
      <c r="AP7" s="211"/>
      <c r="AQ7" s="211"/>
      <c r="AR7" s="211"/>
      <c r="AS7" s="211"/>
      <c r="AT7" s="211"/>
      <c r="AU7" s="211"/>
      <c r="AV7" s="211"/>
      <c r="AW7" s="212"/>
      <c r="AX7" s="221" t="s">
        <v>67</v>
      </c>
      <c r="AY7" s="211"/>
      <c r="AZ7" s="211"/>
      <c r="BA7" s="211"/>
      <c r="BB7" s="211"/>
      <c r="BC7" s="211"/>
      <c r="BD7" s="212"/>
      <c r="BE7" s="221" t="s">
        <v>68</v>
      </c>
      <c r="BF7" s="211"/>
      <c r="BG7" s="211"/>
      <c r="BH7" s="211"/>
      <c r="BI7" s="211"/>
      <c r="BJ7" s="212"/>
      <c r="BK7" s="18"/>
      <c r="BL7" s="18"/>
      <c r="BM7" s="18"/>
      <c r="BN7" s="18"/>
      <c r="BO7" s="18"/>
      <c r="BP7" s="18"/>
      <c r="BQ7" s="18"/>
      <c r="BR7" s="18"/>
      <c r="BS7" s="18"/>
      <c r="BT7" s="18"/>
      <c r="BU7" s="18"/>
      <c r="BV7" s="18"/>
      <c r="BW7" s="18"/>
      <c r="BX7" s="18"/>
      <c r="BY7" s="18"/>
      <c r="BZ7" s="18"/>
      <c r="CA7" s="18"/>
      <c r="CB7" s="18"/>
      <c r="CC7" s="18"/>
      <c r="CD7" s="18"/>
    </row>
    <row r="8" spans="1:82" ht="16.5" customHeight="1" x14ac:dyDescent="0.3">
      <c r="A8" s="197" t="s">
        <v>231</v>
      </c>
      <c r="B8" s="197" t="s">
        <v>7</v>
      </c>
      <c r="C8" s="202" t="s">
        <v>15</v>
      </c>
      <c r="D8" s="201" t="s">
        <v>212</v>
      </c>
      <c r="E8" s="203" t="s">
        <v>213</v>
      </c>
      <c r="F8" s="201" t="s">
        <v>391</v>
      </c>
      <c r="G8" s="201" t="s">
        <v>392</v>
      </c>
      <c r="H8" s="202" t="s">
        <v>21</v>
      </c>
      <c r="I8" s="201" t="s">
        <v>23</v>
      </c>
      <c r="J8" s="201" t="s">
        <v>228</v>
      </c>
      <c r="K8" s="201" t="s">
        <v>393</v>
      </c>
      <c r="L8" s="201" t="s">
        <v>69</v>
      </c>
      <c r="M8" s="202" t="s">
        <v>70</v>
      </c>
      <c r="N8" s="201" t="s">
        <v>261</v>
      </c>
      <c r="O8" s="201" t="s">
        <v>71</v>
      </c>
      <c r="P8" s="206" t="s">
        <v>390</v>
      </c>
      <c r="Q8" s="206"/>
      <c r="R8" s="206"/>
      <c r="S8" s="206"/>
      <c r="T8" s="206"/>
      <c r="U8" s="206"/>
      <c r="V8" s="206"/>
      <c r="W8" s="206"/>
      <c r="X8" s="206"/>
      <c r="Y8" s="206"/>
      <c r="Z8" s="206"/>
      <c r="AA8" s="206"/>
      <c r="AB8" s="206"/>
      <c r="AC8" s="206"/>
      <c r="AD8" s="206"/>
      <c r="AE8" s="206"/>
      <c r="AF8" s="206"/>
      <c r="AG8" s="206"/>
      <c r="AH8" s="206"/>
      <c r="AI8" s="201" t="s">
        <v>72</v>
      </c>
      <c r="AJ8" s="202" t="s">
        <v>70</v>
      </c>
      <c r="AK8" s="201" t="s">
        <v>29</v>
      </c>
      <c r="AL8" s="205" t="s">
        <v>73</v>
      </c>
      <c r="AM8" s="203" t="s">
        <v>258</v>
      </c>
      <c r="AN8" s="203"/>
      <c r="AO8" s="203"/>
      <c r="AP8" s="201" t="s">
        <v>31</v>
      </c>
      <c r="AQ8" s="201" t="s">
        <v>33</v>
      </c>
      <c r="AR8" s="201" t="s">
        <v>74</v>
      </c>
      <c r="AS8" s="186"/>
      <c r="AT8" s="186"/>
      <c r="AU8" s="186"/>
      <c r="AV8" s="186"/>
      <c r="AW8" s="186"/>
      <c r="AX8" s="205" t="s">
        <v>75</v>
      </c>
      <c r="AY8" s="205" t="s">
        <v>76</v>
      </c>
      <c r="AZ8" s="205" t="s">
        <v>70</v>
      </c>
      <c r="BA8" s="205" t="s">
        <v>77</v>
      </c>
      <c r="BB8" s="205" t="s">
        <v>70</v>
      </c>
      <c r="BC8" s="205" t="s">
        <v>78</v>
      </c>
      <c r="BD8" s="205" t="s">
        <v>50</v>
      </c>
      <c r="BE8" s="201" t="s">
        <v>68</v>
      </c>
      <c r="BF8" s="201" t="s">
        <v>79</v>
      </c>
      <c r="BG8" s="201" t="s">
        <v>80</v>
      </c>
      <c r="BH8" s="201" t="s">
        <v>81</v>
      </c>
      <c r="BI8" s="201" t="s">
        <v>82</v>
      </c>
      <c r="BJ8" s="201" t="s">
        <v>54</v>
      </c>
      <c r="BK8" s="18"/>
      <c r="BL8" s="18"/>
      <c r="BM8" s="18"/>
      <c r="BN8" s="18"/>
      <c r="BO8" s="18"/>
      <c r="BP8" s="18"/>
      <c r="BQ8" s="18"/>
      <c r="BR8" s="18"/>
      <c r="BS8" s="18"/>
      <c r="BT8" s="18"/>
      <c r="BU8" s="18"/>
      <c r="BV8" s="18"/>
      <c r="BW8" s="18"/>
      <c r="BX8" s="18"/>
      <c r="BY8" s="18"/>
      <c r="BZ8" s="18"/>
      <c r="CA8" s="18"/>
      <c r="CB8" s="18"/>
      <c r="CC8" s="18"/>
      <c r="CD8" s="18"/>
    </row>
    <row r="9" spans="1:82" ht="59.45" customHeight="1" x14ac:dyDescent="0.2">
      <c r="A9" s="186"/>
      <c r="B9" s="186"/>
      <c r="C9" s="186"/>
      <c r="D9" s="186"/>
      <c r="E9" s="204"/>
      <c r="F9" s="184"/>
      <c r="G9" s="186"/>
      <c r="H9" s="186"/>
      <c r="I9" s="186"/>
      <c r="J9" s="186"/>
      <c r="K9" s="186"/>
      <c r="L9" s="186"/>
      <c r="M9" s="186"/>
      <c r="N9" s="186"/>
      <c r="O9" s="186"/>
      <c r="P9" s="124" t="s">
        <v>262</v>
      </c>
      <c r="Q9" s="124" t="s">
        <v>263</v>
      </c>
      <c r="R9" s="124" t="s">
        <v>264</v>
      </c>
      <c r="S9" s="124" t="s">
        <v>265</v>
      </c>
      <c r="T9" s="124" t="s">
        <v>267</v>
      </c>
      <c r="U9" s="124" t="s">
        <v>266</v>
      </c>
      <c r="V9" s="124" t="s">
        <v>268</v>
      </c>
      <c r="W9" s="124" t="s">
        <v>269</v>
      </c>
      <c r="X9" s="124" t="s">
        <v>270</v>
      </c>
      <c r="Y9" s="124" t="s">
        <v>271</v>
      </c>
      <c r="Z9" s="124" t="s">
        <v>272</v>
      </c>
      <c r="AA9" s="124" t="s">
        <v>273</v>
      </c>
      <c r="AB9" s="124" t="s">
        <v>274</v>
      </c>
      <c r="AC9" s="124" t="s">
        <v>275</v>
      </c>
      <c r="AD9" s="124" t="s">
        <v>276</v>
      </c>
      <c r="AE9" s="124" t="s">
        <v>277</v>
      </c>
      <c r="AF9" s="124" t="s">
        <v>278</v>
      </c>
      <c r="AG9" s="124" t="s">
        <v>279</v>
      </c>
      <c r="AH9" s="124" t="s">
        <v>280</v>
      </c>
      <c r="AI9" s="186"/>
      <c r="AJ9" s="186"/>
      <c r="AK9" s="186"/>
      <c r="AL9" s="186"/>
      <c r="AM9" s="123" t="s">
        <v>388</v>
      </c>
      <c r="AN9" s="125" t="s">
        <v>389</v>
      </c>
      <c r="AO9" s="123" t="s">
        <v>387</v>
      </c>
      <c r="AP9" s="186"/>
      <c r="AQ9" s="186"/>
      <c r="AR9" s="126" t="s">
        <v>83</v>
      </c>
      <c r="AS9" s="126" t="s">
        <v>84</v>
      </c>
      <c r="AT9" s="126" t="s">
        <v>85</v>
      </c>
      <c r="AU9" s="126" t="s">
        <v>86</v>
      </c>
      <c r="AV9" s="126" t="s">
        <v>87</v>
      </c>
      <c r="AW9" s="126" t="s">
        <v>88</v>
      </c>
      <c r="AX9" s="186"/>
      <c r="AY9" s="186"/>
      <c r="AZ9" s="186"/>
      <c r="BA9" s="186"/>
      <c r="BB9" s="186"/>
      <c r="BC9" s="186"/>
      <c r="BD9" s="186"/>
      <c r="BE9" s="186"/>
      <c r="BF9" s="186"/>
      <c r="BG9" s="186"/>
      <c r="BH9" s="186"/>
      <c r="BI9" s="186"/>
      <c r="BJ9" s="186"/>
      <c r="BK9" s="22"/>
      <c r="BL9" s="22"/>
      <c r="BM9" s="22"/>
      <c r="BN9" s="22"/>
      <c r="BO9" s="22"/>
      <c r="BP9" s="22"/>
      <c r="BQ9" s="22"/>
      <c r="BR9" s="22"/>
      <c r="BS9" s="22"/>
      <c r="BT9" s="22"/>
      <c r="BU9" s="22"/>
      <c r="BV9" s="22"/>
      <c r="BW9" s="22"/>
      <c r="BX9" s="22"/>
      <c r="BY9" s="22"/>
      <c r="BZ9" s="22"/>
      <c r="CA9" s="22"/>
      <c r="CB9" s="22"/>
      <c r="CC9" s="22"/>
      <c r="CD9" s="22"/>
    </row>
    <row r="10" spans="1:82" ht="59.1" customHeight="1" x14ac:dyDescent="0.2">
      <c r="A10" s="185">
        <v>1</v>
      </c>
      <c r="B10" s="183" t="s">
        <v>403</v>
      </c>
      <c r="C10" s="183" t="s">
        <v>195</v>
      </c>
      <c r="D10" s="183" t="s">
        <v>217</v>
      </c>
      <c r="E10" s="183"/>
      <c r="F10" s="189" t="s">
        <v>419</v>
      </c>
      <c r="G10" s="189" t="s">
        <v>576</v>
      </c>
      <c r="H10" s="183" t="str">
        <f>_xlfn.CONCAT("Posibilidad de afectación ",IF(C10='Opciones Tratamiento'!$E$2,"económica",IF(C10='Opciones Tratamiento'!$E$4,"económica y reputacional",LOWER(C10)))," por ",LOWER(F10), ", debido a ",LOWER(G10))</f>
        <v>Posibilidad de afectación económica y reputacional por no  lograr la implementación de un sistema de alertas tempranas que permita detectar riesgos materiales basado en un modelo de ivc preventivo,, debido a inadecuada planeación
talento humano insuficiente
ausencia de lineamentos claros
disminución en  la  asignación presupuestal</v>
      </c>
      <c r="I10" s="189" t="s">
        <v>420</v>
      </c>
      <c r="J10" s="185" t="s">
        <v>231</v>
      </c>
      <c r="K10" s="185" t="s">
        <v>257</v>
      </c>
      <c r="L10" s="187" t="str">
        <f>IF(OR(K10='Opciones Tratamiento'!$K$14,K10='Opciones Tratamiento'!$K$15,K10='Opciones Tratamiento'!$K$16),"Muy Baja",IF(OR(K10='Opciones Tratamiento'!$K$10,K10='Opciones Tratamiento'!$K$11,K10='Opciones Tratamiento'!$K$12,K10='Opciones Tratamiento'!$K$13),"Baja",IF(OR(K10='Opciones Tratamiento'!$K$4,K10='Opciones Tratamiento'!$K$5,K10='Opciones Tratamiento'!$K$6,K10='Opciones Tratamiento'!$K$7,K10='Opciones Tratamiento'!$K$8,K10='Opciones Tratamiento'!$K$9),"Media",IF(K10='Opciones Tratamiento'!$K$3,"Alta",IF(OR(K10='Opciones Tratamiento'!$K$2,K10='Opciones Tratamiento'!$K$17),"Muy Alta")))))</f>
        <v>Muy Alta</v>
      </c>
      <c r="M10" s="188">
        <f>IF(L10="","",IF(L10="Muy Baja",0.2,IF(L10="Baja",0.4,IF(L10="Media",0.6,IF(L10="Alta",0.8,IF(L10="Muy Alta",1,))))))</f>
        <v>1</v>
      </c>
      <c r="N10" s="188" t="s">
        <v>149</v>
      </c>
      <c r="O10" s="188" t="str">
        <f ca="1">IF(NOT(ISERROR(MATCH(N10,'Tabla Impacto'!$B$221:$B$223,0))),'Tabla Impacto'!$F$223&amp;"Por favor no seleccionar los criterios de impacto(Afectación Económica o presupuestal y Pérdida Reputacional)",N10)</f>
        <v xml:space="preserve">     El riesgo afecta la imagen de la entidad con algunos usuarios de relevancia frente al logro de los objetivos</v>
      </c>
      <c r="P10" s="130"/>
      <c r="Q10" s="130"/>
      <c r="R10" s="130"/>
      <c r="S10" s="130"/>
      <c r="T10" s="130"/>
      <c r="U10" s="130"/>
      <c r="V10" s="130"/>
      <c r="W10" s="130"/>
      <c r="X10" s="130"/>
      <c r="Y10" s="130"/>
      <c r="Z10" s="130"/>
      <c r="AA10" s="130"/>
      <c r="AB10" s="130"/>
      <c r="AC10" s="130"/>
      <c r="AD10" s="130"/>
      <c r="AE10" s="130"/>
      <c r="AF10" s="130"/>
      <c r="AG10" s="130"/>
      <c r="AH10" s="130"/>
      <c r="AI10" s="187" t="str">
        <f ca="1">IF(OR(D10='Opciones Tratamiento'!$H$2,D10='Opciones Tratamiento'!$H$4),IF(OR(O10='Tabla Impacto'!$C$11,O10='Tabla Impacto'!$D$11),"Leve",IF(OR(O10='Tabla Impacto'!$C$12,O10='Tabla Impacto'!$D$12),"Menor",IF(OR(O10='Tabla Impacto'!$C$13,O10='Tabla Impacto'!$D$13),"Moderado",IF(OR(O10='Tabla Impacto'!$C$14,O10='Tabla Impacto'!$D$14),"Mayor",IF(OR(O10='Tabla Impacto'!$C$15,O10='Tabla Impacto'!$D$15),"Catastrófico",""))))),IF(D10='Opciones Tratamiento'!$H$3,IF(COUNTIF('Mapa final'!P10:AH10,"Si")&lt;=5,"Moderado",IF(AND(COUNTIF('Mapa final'!P10:AH10,"Si")&gt;5,COUNTIF('Mapa final'!P10:AH10,"Si")&lt;=10),"Mayor",IF(COUNTIF('Mapa final'!P10:AH10,"Si")&gt;10,"Catastrófico","")))))</f>
        <v>Moderado</v>
      </c>
      <c r="AJ10" s="188">
        <f ca="1">IF(AI10="","",IF(AI10="Leve",0.2,IF(AI10="Menor",0.4,IF(AI10="Moderado",0.6,IF(AI10="Mayor",0.8,IF(AI10="Catastrófico",1,))))))</f>
        <v>0.6</v>
      </c>
      <c r="AK10" s="190" t="str">
        <f ca="1">IF(OR(AND(L10="Muy Baja",AI10="Leve"),AND(L10="Muy Baja",AI10="Menor"),AND(L10="Baja",AI10="Leve")),"Bajo",IF(OR(AND(L10="Muy baja",AI10="Moderado"),AND(L10="Baja",AI10="Menor"),AND(L10="Baja",AI10="Moderado"),AND(L10="Media",AI10="Leve"),AND(L10="Media",AI10="Menor"),AND(L10="Media",AI10="Moderado"),AND(L10="Alta",AI10="Leve"),AND(L10="Alta",AI10="Menor")),"Moderado",IF(OR(AND(L10="Muy Baja",AI10="Mayor"),AND(L10="Baja",AI10="Mayor"),AND(L10="Media",AI10="Mayor"),AND(L10="Alta",AI10="Moderado"),AND(L10="Alta",AI10="Mayor"),AND(L10="Muy Alta",AI10="Leve"),AND(L10="Muy Alta",AI10="Menor"),AND(L10="Muy Alta",AI10="Moderado"),AND(L10="Muy Alta",AI10="Mayor")),"Alto",IF(OR(AND(L10="Muy Baja",AI10="Catastrófico"),AND(L10="Baja",AI10="Catastrófico"),AND(L10="Media",AI10="Catastrófico"),AND(L10="Alta",AI10="Catastrófico"),AND(L10="Muy Alta",AI10="Catastrófico")),"Extremo",""))))</f>
        <v>Alto</v>
      </c>
      <c r="AL10" s="127">
        <v>1</v>
      </c>
      <c r="AM10" s="127"/>
      <c r="AN10" s="127" t="e">
        <f>VLOOKUP(AM10,'Opciones Tratamiento'!$M$2:$O$37,3,FALSE)</f>
        <v>#N/A</v>
      </c>
      <c r="AO10" s="132" t="e">
        <f>VLOOKUP(AM10,'Opciones Tratamiento'!$M$2:$O$37,2,FALSE)</f>
        <v>#N/A</v>
      </c>
      <c r="AP10" s="133" t="s">
        <v>577</v>
      </c>
      <c r="AQ10" s="127" t="str">
        <f t="shared" ref="AQ10:AQ26" si="0">IF(OR(AR10="Preventivo",AR10="Detectivo"),"Probabilidad",IF(AR10="Correctivo","Impacto",""))</f>
        <v>Probabilidad</v>
      </c>
      <c r="AR10" s="134" t="s">
        <v>165</v>
      </c>
      <c r="AS10" s="134" t="s">
        <v>173</v>
      </c>
      <c r="AT10" s="135" t="str">
        <f t="shared" ref="AT10:AT26" si="1">IF(AND(AR10="Preventivo",AS10="Automático"),"50%",IF(AND(AR10="Preventivo",AS10="Manual"),"40%",IF(AND(AR10="Detectivo",AS10="Automático"),"40%",IF(AND(AR10="Detectivo",AS10="Manual"),"30%",IF(AND(AR10="Correctivo",AS10="Automático"),"35%",IF(AND(AR10="Correctivo",AS10="Manual"),"25%",""))))))</f>
        <v>40%</v>
      </c>
      <c r="AU10" s="134" t="s">
        <v>176</v>
      </c>
      <c r="AV10" s="134" t="s">
        <v>181</v>
      </c>
      <c r="AW10" s="134" t="s">
        <v>185</v>
      </c>
      <c r="AX10" s="136">
        <f>IFERROR(IF(AQ10="Probabilidad",(M10-(+M10*AT10)),IF(AQ10="Impacto",M10,"")),"")</f>
        <v>0.6</v>
      </c>
      <c r="AY10" s="137" t="str">
        <f t="shared" ref="AY10:AY26" si="2">IFERROR(IF(AX10="","",IF(AX10&lt;=0.2,"Muy Baja",IF(AX10&lt;=0.4,"Baja",IF(AX10&lt;=0.6,"Media",IF(AX10&lt;=0.8,"Alta","Muy Alta"))))),"")</f>
        <v>Media</v>
      </c>
      <c r="AZ10" s="135">
        <f t="shared" ref="AZ10:AZ26" si="3">+AX10</f>
        <v>0.6</v>
      </c>
      <c r="BA10" s="137" t="str">
        <f t="shared" ref="BA10:BA26" ca="1" si="4">IFERROR(IF(BB10="","",IF(BB10&lt;=0.2,"Leve",IF(BB10&lt;=0.4,"Menor",IF(BB10&lt;=0.6,"Moderado",IF(BB10&lt;=0.8,"Mayor","Catastrófico"))))),"")</f>
        <v>Moderado</v>
      </c>
      <c r="BB10" s="135">
        <f ca="1">IFERROR(IF(AQ10="Impacto",(AJ10-(+AJ10*AT10)),IF(AQ10="Probabilidad",AJ10,"")),"")</f>
        <v>0.6</v>
      </c>
      <c r="BC10" s="138" t="str">
        <f t="shared" ref="BC10:BC26" ca="1" si="5">IFERROR(IF(OR(AND(AY10="Muy Baja",BA10="Leve"),AND(AY10="Muy Baja",BA10="Menor"),AND(AY10="Baja",BA10="Leve")),"Bajo",IF(OR(AND(AY10="Muy baja",BA10="Moderado"),AND(AY10="Baja",BA10="Menor"),AND(AY10="Baja",BA10="Moderado"),AND(AY10="Media",BA10="Leve"),AND(AY10="Media",BA10="Menor"),AND(AY10="Media",BA10="Moderado"),AND(AY10="Alta",BA10="Leve"),AND(AY10="Alta",BA10="Menor")),"Moderado",IF(OR(AND(AY10="Muy Baja",BA10="Mayor"),AND(AY10="Baja",BA10="Mayor"),AND(AY10="Media",BA10="Mayor"),AND(AY10="Alta",BA10="Moderado"),AND(AY10="Alta",BA10="Mayor"),AND(AY10="Muy Alta",BA10="Leve"),AND(AY10="Muy Alta",BA10="Menor"),AND(AY10="Muy Alta",BA10="Moderado"),AND(AY10="Muy Alta",BA10="Mayor")),"Alto",IF(OR(AND(AY10="Muy Baja",BA10="Catastrófico"),AND(AY10="Baja",BA10="Catastrófico"),AND(AY10="Media",BA10="Catastrófico"),AND(AY10="Alta",BA10="Catastrófico"),AND(AY10="Muy Alta",BA10="Catastrófico")),"Extremo","")))),"")</f>
        <v>Moderado</v>
      </c>
      <c r="BD10" s="134" t="s">
        <v>196</v>
      </c>
      <c r="BE10" s="120"/>
      <c r="BF10" s="127"/>
      <c r="BG10" s="139"/>
      <c r="BH10" s="139"/>
      <c r="BI10" s="120"/>
      <c r="BJ10" s="127"/>
      <c r="BK10" s="23"/>
      <c r="BL10" s="23"/>
      <c r="BM10" s="23"/>
      <c r="BN10" s="23"/>
      <c r="BO10" s="23"/>
      <c r="BP10" s="23"/>
      <c r="BQ10" s="23"/>
      <c r="BR10" s="23"/>
      <c r="BS10" s="23"/>
      <c r="BT10" s="23"/>
      <c r="BU10" s="23"/>
      <c r="BV10" s="23"/>
      <c r="BW10" s="23"/>
      <c r="BX10" s="23"/>
      <c r="BY10" s="23"/>
      <c r="BZ10" s="23"/>
      <c r="CA10" s="23"/>
      <c r="CB10" s="23"/>
      <c r="CC10" s="23"/>
      <c r="CD10" s="23"/>
    </row>
    <row r="11" spans="1:82" ht="59.1" customHeight="1" x14ac:dyDescent="0.3">
      <c r="A11" s="186"/>
      <c r="B11" s="184"/>
      <c r="C11" s="186"/>
      <c r="D11" s="183"/>
      <c r="E11" s="186"/>
      <c r="F11" s="189"/>
      <c r="G11" s="189"/>
      <c r="H11" s="186"/>
      <c r="I11" s="189"/>
      <c r="J11" s="186"/>
      <c r="K11" s="186"/>
      <c r="L11" s="186"/>
      <c r="M11" s="186"/>
      <c r="N11" s="186"/>
      <c r="O11" s="186"/>
      <c r="P11" s="130"/>
      <c r="Q11" s="130"/>
      <c r="R11" s="130"/>
      <c r="S11" s="130"/>
      <c r="T11" s="130"/>
      <c r="U11" s="140"/>
      <c r="V11" s="140"/>
      <c r="W11" s="140"/>
      <c r="X11" s="140"/>
      <c r="Y11" s="140"/>
      <c r="Z11" s="140"/>
      <c r="AA11" s="140"/>
      <c r="AB11" s="140"/>
      <c r="AC11" s="140"/>
      <c r="AD11" s="130"/>
      <c r="AE11" s="130"/>
      <c r="AF11" s="130"/>
      <c r="AG11" s="130"/>
      <c r="AH11" s="130"/>
      <c r="AI11" s="186"/>
      <c r="AJ11" s="186"/>
      <c r="AK11" s="186"/>
      <c r="AL11" s="127">
        <v>2</v>
      </c>
      <c r="AM11" s="127"/>
      <c r="AN11" s="127" t="e">
        <f>VLOOKUP(AM11,'Opciones Tratamiento'!$M$2:$O$37,3,FALSE)</f>
        <v>#N/A</v>
      </c>
      <c r="AO11" s="132" t="e">
        <f>VLOOKUP(AM11,'Opciones Tratamiento'!$M$2:$O$37,2,FALSE)</f>
        <v>#N/A</v>
      </c>
      <c r="AP11" s="133" t="s">
        <v>421</v>
      </c>
      <c r="AQ11" s="127" t="str">
        <f t="shared" si="0"/>
        <v>Probabilidad</v>
      </c>
      <c r="AR11" s="134" t="s">
        <v>165</v>
      </c>
      <c r="AS11" s="134" t="s">
        <v>173</v>
      </c>
      <c r="AT11" s="135" t="str">
        <f t="shared" si="1"/>
        <v>40%</v>
      </c>
      <c r="AU11" s="134" t="s">
        <v>176</v>
      </c>
      <c r="AV11" s="134" t="s">
        <v>181</v>
      </c>
      <c r="AW11" s="134" t="s">
        <v>185</v>
      </c>
      <c r="AX11" s="136">
        <f>IFERROR(IF(AND(AQ10="Probabilidad",AQ11="Probabilidad"),(AZ10-(+AZ10*AT11)),IF(AQ11="Probabilidad",(M10-(+M10*AT11)),IF(AQ11="Impacto",AZ10,""))),"")</f>
        <v>0.36</v>
      </c>
      <c r="AY11" s="137" t="str">
        <f t="shared" si="2"/>
        <v>Baja</v>
      </c>
      <c r="AZ11" s="135">
        <f t="shared" si="3"/>
        <v>0.36</v>
      </c>
      <c r="BA11" s="137" t="str">
        <f t="shared" ca="1" si="4"/>
        <v>Moderado</v>
      </c>
      <c r="BB11" s="135">
        <f ca="1">IFERROR(IF(AND(AQ10="Impacto",AQ11="Impacto"),(BB10-(+BB10*AT11)),IF(AQ11="Impacto",($AJ$10-(+$AJ$10*AT11)),IF(AQ11="Probabilidad",BB10,""))),"")</f>
        <v>0.6</v>
      </c>
      <c r="BC11" s="138" t="str">
        <f t="shared" ca="1" si="5"/>
        <v>Moderado</v>
      </c>
      <c r="BD11" s="134" t="s">
        <v>190</v>
      </c>
      <c r="BE11" s="120"/>
      <c r="BF11" s="127"/>
      <c r="BG11" s="139"/>
      <c r="BH11" s="139"/>
      <c r="BI11" s="120"/>
      <c r="BJ11" s="127"/>
      <c r="BK11" s="18"/>
      <c r="BL11" s="18"/>
      <c r="BM11" s="18"/>
      <c r="BN11" s="18"/>
      <c r="BO11" s="18"/>
      <c r="BP11" s="18"/>
      <c r="BQ11" s="18"/>
      <c r="BR11" s="18"/>
      <c r="BS11" s="18"/>
      <c r="BT11" s="18"/>
      <c r="BU11" s="18"/>
      <c r="BV11" s="18"/>
      <c r="BW11" s="18"/>
      <c r="BX11" s="18"/>
      <c r="BY11" s="18"/>
      <c r="BZ11" s="18"/>
      <c r="CA11" s="18"/>
      <c r="CB11" s="18"/>
      <c r="CC11" s="18"/>
      <c r="CD11" s="18"/>
    </row>
    <row r="12" spans="1:82" ht="59.1" customHeight="1" x14ac:dyDescent="0.3">
      <c r="A12" s="183">
        <v>2</v>
      </c>
      <c r="B12" s="183" t="s">
        <v>403</v>
      </c>
      <c r="C12" s="183" t="s">
        <v>193</v>
      </c>
      <c r="D12" s="183" t="s">
        <v>217</v>
      </c>
      <c r="E12" s="183"/>
      <c r="F12" s="183" t="s">
        <v>422</v>
      </c>
      <c r="G12" s="183" t="s">
        <v>423</v>
      </c>
      <c r="H12" s="183" t="str">
        <f>_xlfn.CONCAT("Posibilidad de afectación ",IF(C12='Opciones Tratamiento'!$E$2,"económica",IF(C12='Opciones Tratamiento'!$E$4,"económica y reputacional",LOWER(C12)))," por ",LOWER(F12), ", debido a ",LOWER(G12))</f>
        <v>Posibilidad de afectación reputacional por no lograr aumentar  la cobertura de beneficiarios del subsidio familiar, debido a no lograr la identificación y la integración de los actores del sistema de subsidio familiar</v>
      </c>
      <c r="I12" s="183" t="s">
        <v>201</v>
      </c>
      <c r="J12" s="185" t="s">
        <v>231</v>
      </c>
      <c r="K12" s="185" t="s">
        <v>257</v>
      </c>
      <c r="L12" s="187" t="str">
        <f>IF(OR(K12='Opciones Tratamiento'!$K$14,K12='Opciones Tratamiento'!$K$15,K12='Opciones Tratamiento'!$K$16),"Muy Baja",IF(OR(K12='Opciones Tratamiento'!$K$10,K12='Opciones Tratamiento'!$K$11,K12='Opciones Tratamiento'!$K$12,K12='Opciones Tratamiento'!$K$13),"Baja",IF(OR(K12='Opciones Tratamiento'!$K$4,K12='Opciones Tratamiento'!$K$5,K12='Opciones Tratamiento'!$K$6,K12='Opciones Tratamiento'!$K$7,K12='Opciones Tratamiento'!$K$8,K12='Opciones Tratamiento'!$K$9),"Media",IF(K12='Opciones Tratamiento'!$K$3,"Alta",IF(OR(K12='Opciones Tratamiento'!$K$2,K12='Opciones Tratamiento'!$K$17),"Muy Alta")))))</f>
        <v>Muy Alta</v>
      </c>
      <c r="M12" s="188">
        <f>IF(L12="","",IF(L12="Muy Baja",0.2,IF(L12="Baja",0.4,IF(L12="Media",0.6,IF(L12="Alta",0.8,IF(L12="Muy Alta",1,))))))</f>
        <v>1</v>
      </c>
      <c r="N12" s="188" t="s">
        <v>149</v>
      </c>
      <c r="O12" s="188" t="str">
        <f ca="1">IF(NOT(ISERROR(MATCH(N12,'Tabla Impacto'!$B$221:$B$223,0))),'Tabla Impacto'!$F$223&amp;"Por favor no seleccionar los criterios de impacto(Afectación Económica o presupuestal y Pérdida Reputacional)",N12)</f>
        <v xml:space="preserve">     El riesgo afecta la imagen de la entidad con algunos usuarios de relevancia frente al logro de los objetivos</v>
      </c>
      <c r="P12" s="130"/>
      <c r="Q12" s="130"/>
      <c r="R12" s="130"/>
      <c r="S12" s="130"/>
      <c r="T12" s="130"/>
      <c r="U12" s="140"/>
      <c r="V12" s="140"/>
      <c r="W12" s="140"/>
      <c r="X12" s="140"/>
      <c r="Y12" s="140"/>
      <c r="Z12" s="140"/>
      <c r="AA12" s="140"/>
      <c r="AB12" s="140"/>
      <c r="AC12" s="140"/>
      <c r="AD12" s="130"/>
      <c r="AE12" s="130"/>
      <c r="AF12" s="130"/>
      <c r="AG12" s="130"/>
      <c r="AH12" s="130"/>
      <c r="AI12" s="187" t="str">
        <f ca="1">IF(OR(D12='Opciones Tratamiento'!$H$2,D12='Opciones Tratamiento'!$H$4),IF(OR(O12='Tabla Impacto'!$C$11,O12='Tabla Impacto'!$D$11),"Leve",IF(OR(O12='Tabla Impacto'!$C$12,O12='Tabla Impacto'!$D$12),"Menor",IF(OR(O12='Tabla Impacto'!$C$13,O12='Tabla Impacto'!$D$13),"Moderado",IF(OR(O12='Tabla Impacto'!$C$14,O12='Tabla Impacto'!$D$14),"Mayor",IF(OR(O12='Tabla Impacto'!$C$15,O12='Tabla Impacto'!$D$15),"Catastrófico",""))))),IF(D12='Opciones Tratamiento'!$H$3,IF(COUNTIF('Mapa final'!P12:AH12,"Si")&lt;=5,"Moderado",IF(AND(COUNTIF('Mapa final'!P12:AH12,"Si")&gt;5,COUNTIF('Mapa final'!P12:AH12,"Si")&lt;=10),"Mayor",IF(COUNTIF('Mapa final'!P12:AH12,"Si")&gt;10,"Catastrófico","")))))</f>
        <v>Moderado</v>
      </c>
      <c r="AJ12" s="188">
        <f ca="1">IF(AI12="","",IF(AI12="Leve",0.2,IF(AI12="Menor",0.4,IF(AI12="Moderado",0.6,IF(AI12="Mayor",0.8,IF(AI12="Catastrófico",1,))))))</f>
        <v>0.6</v>
      </c>
      <c r="AK12" s="190" t="str">
        <f ca="1">IF(OR(AND(L12="Muy Baja",AI12="Leve"),AND(L12="Muy Baja",AI12="Menor"),AND(L12="Baja",AI12="Leve")),"Bajo",IF(OR(AND(L12="Muy baja",AI12="Moderado"),AND(L12="Baja",AI12="Menor"),AND(L12="Baja",AI12="Moderado"),AND(L12="Media",AI12="Leve"),AND(L12="Media",AI12="Menor"),AND(L12="Media",AI12="Moderado"),AND(L12="Alta",AI12="Leve"),AND(L12="Alta",AI12="Menor")),"Moderado",IF(OR(AND(L12="Muy Baja",AI12="Mayor"),AND(L12="Baja",AI12="Mayor"),AND(L12="Media",AI12="Mayor"),AND(L12="Alta",AI12="Moderado"),AND(L12="Alta",AI12="Mayor"),AND(L12="Muy Alta",AI12="Leve"),AND(L12="Muy Alta",AI12="Menor"),AND(L12="Muy Alta",AI12="Moderado"),AND(L12="Muy Alta",AI12="Mayor")),"Alto",IF(OR(AND(L12="Muy Baja",AI12="Catastrófico"),AND(L12="Baja",AI12="Catastrófico"),AND(L12="Media",AI12="Catastrófico"),AND(L12="Alta",AI12="Catastrófico"),AND(L12="Muy Alta",AI12="Catastrófico")),"Extremo",""))))</f>
        <v>Alto</v>
      </c>
      <c r="AL12" s="127">
        <v>1</v>
      </c>
      <c r="AM12" s="127"/>
      <c r="AN12" s="127" t="e">
        <f>VLOOKUP(AM12,'Opciones Tratamiento'!$M$2:$O$37,3,FALSE)</f>
        <v>#N/A</v>
      </c>
      <c r="AO12" s="132" t="e">
        <f>VLOOKUP(AM12,'Opciones Tratamiento'!$M$2:$O$37,2,FALSE)</f>
        <v>#N/A</v>
      </c>
      <c r="AP12" s="132" t="s">
        <v>424</v>
      </c>
      <c r="AQ12" s="127" t="str">
        <f t="shared" si="0"/>
        <v>Probabilidad</v>
      </c>
      <c r="AR12" s="134" t="s">
        <v>165</v>
      </c>
      <c r="AS12" s="134" t="s">
        <v>173</v>
      </c>
      <c r="AT12" s="135" t="str">
        <f t="shared" si="1"/>
        <v>40%</v>
      </c>
      <c r="AU12" s="134" t="s">
        <v>176</v>
      </c>
      <c r="AV12" s="134" t="s">
        <v>181</v>
      </c>
      <c r="AW12" s="134" t="s">
        <v>185</v>
      </c>
      <c r="AX12" s="136">
        <f>IFERROR(IF(AQ12="Probabilidad",(M12-(+M12*AT12)),IF(AQ12="Impacto",M12,"")),"")</f>
        <v>0.6</v>
      </c>
      <c r="AY12" s="137" t="str">
        <f t="shared" si="2"/>
        <v>Media</v>
      </c>
      <c r="AZ12" s="135">
        <f t="shared" si="3"/>
        <v>0.6</v>
      </c>
      <c r="BA12" s="137" t="str">
        <f t="shared" ca="1" si="4"/>
        <v>Moderado</v>
      </c>
      <c r="BB12" s="135">
        <f ca="1">IFERROR(IF(AQ12="Impacto",(AJ12-(+AJ12*AT12)),IF(AQ12="Probabilidad",AJ12,"")),"")</f>
        <v>0.6</v>
      </c>
      <c r="BC12" s="138" t="str">
        <f t="shared" ca="1" si="5"/>
        <v>Moderado</v>
      </c>
      <c r="BD12" s="134" t="s">
        <v>196</v>
      </c>
      <c r="BE12" s="120"/>
      <c r="BF12" s="127"/>
      <c r="BG12" s="139"/>
      <c r="BH12" s="139"/>
      <c r="BI12" s="120"/>
      <c r="BJ12" s="127"/>
      <c r="BK12" s="18"/>
      <c r="BL12" s="18"/>
      <c r="BM12" s="18"/>
      <c r="BN12" s="18"/>
      <c r="BO12" s="18"/>
      <c r="BP12" s="18"/>
      <c r="BQ12" s="18"/>
      <c r="BR12" s="18"/>
      <c r="BS12" s="18"/>
      <c r="BT12" s="18"/>
      <c r="BU12" s="18"/>
      <c r="BV12" s="18"/>
      <c r="BW12" s="18"/>
      <c r="BX12" s="18"/>
      <c r="BY12" s="18"/>
      <c r="BZ12" s="18"/>
      <c r="CA12" s="18"/>
      <c r="CB12" s="18"/>
      <c r="CC12" s="18"/>
      <c r="CD12" s="18"/>
    </row>
    <row r="13" spans="1:82" ht="59.1" customHeight="1" x14ac:dyDescent="0.3">
      <c r="A13" s="184"/>
      <c r="B13" s="184"/>
      <c r="C13" s="186"/>
      <c r="D13" s="186"/>
      <c r="E13" s="186"/>
      <c r="F13" s="186"/>
      <c r="G13" s="186"/>
      <c r="H13" s="186"/>
      <c r="I13" s="186"/>
      <c r="J13" s="186"/>
      <c r="K13" s="186"/>
      <c r="L13" s="186"/>
      <c r="M13" s="186"/>
      <c r="N13" s="186"/>
      <c r="O13" s="186"/>
      <c r="P13" s="130"/>
      <c r="Q13" s="130"/>
      <c r="R13" s="130"/>
      <c r="S13" s="130"/>
      <c r="T13" s="130"/>
      <c r="U13" s="140"/>
      <c r="V13" s="140"/>
      <c r="W13" s="140"/>
      <c r="X13" s="140"/>
      <c r="Y13" s="140"/>
      <c r="Z13" s="140"/>
      <c r="AA13" s="140"/>
      <c r="AB13" s="140"/>
      <c r="AC13" s="140"/>
      <c r="AD13" s="130"/>
      <c r="AE13" s="130"/>
      <c r="AF13" s="130"/>
      <c r="AG13" s="130"/>
      <c r="AH13" s="130"/>
      <c r="AI13" s="186"/>
      <c r="AJ13" s="186"/>
      <c r="AK13" s="186"/>
      <c r="AL13" s="127">
        <v>2</v>
      </c>
      <c r="AM13" s="127"/>
      <c r="AN13" s="127" t="e">
        <f>VLOOKUP(AM13,'Opciones Tratamiento'!$M$2:$O$37,3,FALSE)</f>
        <v>#N/A</v>
      </c>
      <c r="AO13" s="132" t="e">
        <f>VLOOKUP(AM13,'Opciones Tratamiento'!$M$2:$O$37,2,FALSE)</f>
        <v>#N/A</v>
      </c>
      <c r="AP13" s="133" t="s">
        <v>425</v>
      </c>
      <c r="AQ13" s="127" t="str">
        <f t="shared" si="0"/>
        <v>Probabilidad</v>
      </c>
      <c r="AR13" s="134" t="s">
        <v>167</v>
      </c>
      <c r="AS13" s="134" t="s">
        <v>173</v>
      </c>
      <c r="AT13" s="135" t="str">
        <f t="shared" si="1"/>
        <v>30%</v>
      </c>
      <c r="AU13" s="134" t="s">
        <v>176</v>
      </c>
      <c r="AV13" s="134" t="s">
        <v>181</v>
      </c>
      <c r="AW13" s="134" t="s">
        <v>185</v>
      </c>
      <c r="AX13" s="136">
        <f>IFERROR(IF(AND(AQ12="Probabilidad",AQ13="Probabilidad"),(AZ12-(+AZ12*AT13)),IF(AQ13="Probabilidad",(M12-(+M12*AT13)),IF(AQ13="Impacto",AZ12,""))),"")</f>
        <v>0.42</v>
      </c>
      <c r="AY13" s="137" t="str">
        <f t="shared" si="2"/>
        <v>Media</v>
      </c>
      <c r="AZ13" s="135">
        <f t="shared" si="3"/>
        <v>0.42</v>
      </c>
      <c r="BA13" s="137" t="str">
        <f t="shared" ca="1" si="4"/>
        <v>Moderado</v>
      </c>
      <c r="BB13" s="135">
        <f ca="1">IFERROR(IF(AND(AQ12="Impacto",AQ13="Impacto"),(BB10-(+BB10*AT13)),IF(AQ13="Impacto",($AJ$12-(+$AJ$12*AT13)),IF(AQ13="Probabilidad",BB10,""))),"")</f>
        <v>0.6</v>
      </c>
      <c r="BC13" s="138" t="str">
        <f t="shared" ca="1" si="5"/>
        <v>Moderado</v>
      </c>
      <c r="BD13" s="134" t="s">
        <v>190</v>
      </c>
      <c r="BE13" s="120"/>
      <c r="BF13" s="127"/>
      <c r="BG13" s="139"/>
      <c r="BH13" s="139"/>
      <c r="BI13" s="120"/>
      <c r="BJ13" s="127"/>
      <c r="BK13" s="18"/>
      <c r="BL13" s="18"/>
      <c r="BM13" s="18"/>
      <c r="BN13" s="18"/>
      <c r="BO13" s="18"/>
      <c r="BP13" s="18"/>
      <c r="BQ13" s="18"/>
      <c r="BR13" s="18"/>
      <c r="BS13" s="18"/>
      <c r="BT13" s="18"/>
      <c r="BU13" s="18"/>
      <c r="BV13" s="18"/>
      <c r="BW13" s="18"/>
      <c r="BX13" s="18"/>
      <c r="BY13" s="18"/>
      <c r="BZ13" s="18"/>
      <c r="CA13" s="18"/>
      <c r="CB13" s="18"/>
      <c r="CC13" s="18"/>
      <c r="CD13" s="18"/>
    </row>
    <row r="14" spans="1:82" ht="59.1" customHeight="1" x14ac:dyDescent="0.3">
      <c r="A14" s="120">
        <v>3</v>
      </c>
      <c r="B14" s="120" t="s">
        <v>403</v>
      </c>
      <c r="C14" s="120" t="s">
        <v>195</v>
      </c>
      <c r="D14" s="120" t="s">
        <v>217</v>
      </c>
      <c r="E14" s="120"/>
      <c r="F14" s="120" t="s">
        <v>426</v>
      </c>
      <c r="G14" s="120" t="s">
        <v>578</v>
      </c>
      <c r="H14" s="120" t="str">
        <f>_xlfn.CONCAT("Posibilidad de afectación ",IF(C14='Opciones Tratamiento'!$E$2,"económica",IF(C14='Opciones Tratamiento'!$E$4,"económica y reputacional",LOWER(C14)))," por ",LOWER(F14), ", debido a ",LOWER(G14))</f>
        <v>Posibilidad de afectación económica y reputacional por no implementar el plan estratégico de tecnologías de la información, debido a debilidades en la planeación estratégica
insuficiencias presupuestal
resistencia al cambio</v>
      </c>
      <c r="I14" s="120" t="s">
        <v>201</v>
      </c>
      <c r="J14" s="127" t="s">
        <v>230</v>
      </c>
      <c r="K14" s="127" t="s">
        <v>246</v>
      </c>
      <c r="L14" s="129" t="str">
        <f>IF(OR(K14='Opciones Tratamiento'!$K$14,K14='Opciones Tratamiento'!$K$15,K14='Opciones Tratamiento'!$K$16),"Muy Baja",IF(OR(K14='Opciones Tratamiento'!$K$10,K14='Opciones Tratamiento'!$K$11,K14='Opciones Tratamiento'!$K$12,K14='Opciones Tratamiento'!$K$13),"Baja",IF(OR(K14='Opciones Tratamiento'!$K$4,K14='Opciones Tratamiento'!$K$5,K14='Opciones Tratamiento'!$K$6,K14='Opciones Tratamiento'!$K$7,K14='Opciones Tratamiento'!$K$8,K14='Opciones Tratamiento'!$K$9),"Media",IF(K14='Opciones Tratamiento'!$K$3,"Alta",IF(OR(K14='Opciones Tratamiento'!$K$2,K14='Opciones Tratamiento'!$K$17),"Muy Alta")))))</f>
        <v>Media</v>
      </c>
      <c r="M14" s="130">
        <f>IF(L14="","",IF(L14="Muy Baja",0.2,IF(L14="Baja",0.4,IF(L14="Media",0.6,IF(L14="Alta",0.8,IF(L14="Muy Alta",1,))))))</f>
        <v>0.6</v>
      </c>
      <c r="N14" s="130" t="s">
        <v>149</v>
      </c>
      <c r="O14" s="130" t="str">
        <f ca="1">IF(NOT(ISERROR(MATCH(N14,'Tabla Impacto'!$B$221:$B$223,0))),'Tabla Impacto'!$F$223&amp;"Por favor no seleccionar los criterios de impacto(Afectación Económica o presupuestal y Pérdida Reputacional)",N14)</f>
        <v xml:space="preserve">     El riesgo afecta la imagen de la entidad con algunos usuarios de relevancia frente al logro de los objetivos</v>
      </c>
      <c r="P14" s="130"/>
      <c r="Q14" s="130"/>
      <c r="R14" s="130"/>
      <c r="S14" s="130"/>
      <c r="T14" s="130"/>
      <c r="U14" s="140"/>
      <c r="V14" s="140"/>
      <c r="W14" s="140"/>
      <c r="X14" s="140"/>
      <c r="Y14" s="140"/>
      <c r="Z14" s="140"/>
      <c r="AA14" s="140"/>
      <c r="AB14" s="140"/>
      <c r="AC14" s="140"/>
      <c r="AD14" s="130"/>
      <c r="AE14" s="130"/>
      <c r="AF14" s="130"/>
      <c r="AG14" s="130"/>
      <c r="AH14" s="130"/>
      <c r="AI14" s="129" t="str">
        <f ca="1">IF(OR(D14='Opciones Tratamiento'!$H$2,D14='Opciones Tratamiento'!$H$4),IF(OR(O14='Tabla Impacto'!$C$11,O14='Tabla Impacto'!$D$11),"Leve",IF(OR(O14='Tabla Impacto'!$C$12,O14='Tabla Impacto'!$D$12),"Menor",IF(OR(O14='Tabla Impacto'!$C$13,O14='Tabla Impacto'!$D$13),"Moderado",IF(OR(O14='Tabla Impacto'!$C$14,O14='Tabla Impacto'!$D$14),"Mayor",IF(OR(O14='Tabla Impacto'!$C$15,O14='Tabla Impacto'!$D$15),"Catastrófico",""))))),IF(D14='Opciones Tratamiento'!$H$3,IF(COUNTIF('Mapa final'!P14:AH14,"Si")&lt;=5,"Moderado",IF(AND(COUNTIF('Mapa final'!P14:AH14,"Si")&gt;5,COUNTIF('Mapa final'!P14:AH14,"Si")&lt;=10),"Mayor",IF(COUNTIF('Mapa final'!P14:AH14,"Si")&gt;10,"Catastrófico","")))))</f>
        <v>Moderado</v>
      </c>
      <c r="AJ14" s="130">
        <f ca="1">IF(AI14="","",IF(AI14="Leve",0.2,IF(AI14="Menor",0.4,IF(AI14="Moderado",0.6,IF(AI14="Mayor",0.8,IF(AI14="Catastrófico",1,))))))</f>
        <v>0.6</v>
      </c>
      <c r="AK14" s="131" t="str">
        <f ca="1">IF(OR(AND(L14="Muy Baja",AI14="Leve"),AND(L14="Muy Baja",AI14="Menor"),AND(L14="Baja",AI14="Leve")),"Bajo",IF(OR(AND(L14="Muy baja",AI14="Moderado"),AND(L14="Baja",AI14="Menor"),AND(L14="Baja",AI14="Moderado"),AND(L14="Media",AI14="Leve"),AND(L14="Media",AI14="Menor"),AND(L14="Media",AI14="Moderado"),AND(L14="Alta",AI14="Leve"),AND(L14="Alta",AI14="Menor")),"Moderado",IF(OR(AND(L14="Muy Baja",AI14="Mayor"),AND(L14="Baja",AI14="Mayor"),AND(L14="Media",AI14="Mayor"),AND(L14="Alta",AI14="Moderado"),AND(L14="Alta",AI14="Mayor"),AND(L14="Muy Alta",AI14="Leve"),AND(L14="Muy Alta",AI14="Menor"),AND(L14="Muy Alta",AI14="Moderado"),AND(L14="Muy Alta",AI14="Mayor")),"Alto",IF(OR(AND(L14="Muy Baja",AI14="Catastrófico"),AND(L14="Baja",AI14="Catastrófico"),AND(L14="Media",AI14="Catastrófico"),AND(L14="Alta",AI14="Catastrófico"),AND(L14="Muy Alta",AI14="Catastrófico")),"Extremo",""))))</f>
        <v>Moderado</v>
      </c>
      <c r="AL14" s="127">
        <v>1</v>
      </c>
      <c r="AM14" s="127"/>
      <c r="AN14" s="127" t="e">
        <f>VLOOKUP(AM14,'Opciones Tratamiento'!$M$2:$O$37,3,FALSE)</f>
        <v>#N/A</v>
      </c>
      <c r="AO14" s="132" t="e">
        <f>VLOOKUP(AM14,'Opciones Tratamiento'!$M$2:$O$37,2,FALSE)</f>
        <v>#N/A</v>
      </c>
      <c r="AP14" s="132" t="s">
        <v>427</v>
      </c>
      <c r="AQ14" s="127" t="str">
        <f t="shared" si="0"/>
        <v>Probabilidad</v>
      </c>
      <c r="AR14" s="134" t="s">
        <v>167</v>
      </c>
      <c r="AS14" s="134" t="s">
        <v>173</v>
      </c>
      <c r="AT14" s="135" t="str">
        <f t="shared" si="1"/>
        <v>30%</v>
      </c>
      <c r="AU14" s="134" t="s">
        <v>176</v>
      </c>
      <c r="AV14" s="134" t="s">
        <v>181</v>
      </c>
      <c r="AW14" s="134" t="s">
        <v>185</v>
      </c>
      <c r="AX14" s="136">
        <f>IFERROR(IF(AQ14="Probabilidad",(M14-(+M14*AT14)),IF(AQ14="Impacto",M14,"")),"")</f>
        <v>0.42</v>
      </c>
      <c r="AY14" s="137" t="str">
        <f t="shared" si="2"/>
        <v>Media</v>
      </c>
      <c r="AZ14" s="135">
        <f t="shared" si="3"/>
        <v>0.42</v>
      </c>
      <c r="BA14" s="137" t="str">
        <f t="shared" ca="1" si="4"/>
        <v>Moderado</v>
      </c>
      <c r="BB14" s="135">
        <f ca="1">IFERROR(IF(AQ14="Impacto",(AJ14-(+AJ14*AT14)),IF(AQ14="Probabilidad",AJ14,"")),"")</f>
        <v>0.6</v>
      </c>
      <c r="BC14" s="138" t="str">
        <f t="shared" ca="1" si="5"/>
        <v>Moderado</v>
      </c>
      <c r="BD14" s="134" t="s">
        <v>190</v>
      </c>
      <c r="BE14" s="120"/>
      <c r="BF14" s="127"/>
      <c r="BG14" s="139"/>
      <c r="BH14" s="139"/>
      <c r="BI14" s="120"/>
      <c r="BJ14" s="127"/>
      <c r="BK14" s="18"/>
      <c r="BL14" s="18"/>
      <c r="BM14" s="18"/>
      <c r="BN14" s="18"/>
      <c r="BO14" s="18"/>
      <c r="BP14" s="18"/>
      <c r="BQ14" s="18"/>
      <c r="BR14" s="18"/>
      <c r="BS14" s="18"/>
      <c r="BT14" s="18"/>
      <c r="BU14" s="18"/>
      <c r="BV14" s="18"/>
      <c r="BW14" s="18"/>
      <c r="BX14" s="18"/>
      <c r="BY14" s="18"/>
      <c r="BZ14" s="18"/>
      <c r="CA14" s="18"/>
      <c r="CB14" s="18"/>
      <c r="CC14" s="18"/>
      <c r="CD14" s="18"/>
    </row>
    <row r="15" spans="1:82" ht="59.1" customHeight="1" x14ac:dyDescent="0.3">
      <c r="A15" s="183">
        <v>4</v>
      </c>
      <c r="B15" s="183" t="s">
        <v>403</v>
      </c>
      <c r="C15" s="183" t="s">
        <v>193</v>
      </c>
      <c r="D15" s="183" t="s">
        <v>217</v>
      </c>
      <c r="E15" s="183"/>
      <c r="F15" s="183" t="s">
        <v>579</v>
      </c>
      <c r="G15" s="183" t="s">
        <v>428</v>
      </c>
      <c r="H15" s="183" t="str">
        <f>_xlfn.CONCAT("Posibilidad de afectación ",IF(C15='Opciones Tratamiento'!$E$2,"económica",IF(C15='Opciones Tratamiento'!$E$4,"económica y reputacional",LOWER(C15)))," por ",LOWER(F15), ", debido a ",LOWER(G15))</f>
        <v xml:space="preserve">Posibilidad de afectación reputacional por no lograr la actualización y articulación del modelo de operación por procesos de la entidad , debido a debilidades en los lineamientos para la implementación y mantenimiento del sistema de gestión de calidad
</v>
      </c>
      <c r="I15" s="183" t="s">
        <v>201</v>
      </c>
      <c r="J15" s="185" t="s">
        <v>231</v>
      </c>
      <c r="K15" s="185" t="s">
        <v>246</v>
      </c>
      <c r="L15" s="187" t="str">
        <f>IF(OR(K15='Opciones Tratamiento'!$K$14,K15='Opciones Tratamiento'!$K$15,K15='Opciones Tratamiento'!$K$16),"Muy Baja",IF(OR(K15='Opciones Tratamiento'!$K$10,K15='Opciones Tratamiento'!$K$11,K15='Opciones Tratamiento'!$K$12,K15='Opciones Tratamiento'!$K$13),"Baja",IF(OR(K15='Opciones Tratamiento'!$K$4,K15='Opciones Tratamiento'!$K$5,K15='Opciones Tratamiento'!$K$6,K15='Opciones Tratamiento'!$K$7,K15='Opciones Tratamiento'!$K$8,K15='Opciones Tratamiento'!$K$9),"Media",IF(K15='Opciones Tratamiento'!$K$3,"Alta",IF(OR(K15='Opciones Tratamiento'!$K$2,K15='Opciones Tratamiento'!$K$17),"Muy Alta")))))</f>
        <v>Media</v>
      </c>
      <c r="M15" s="188">
        <f>IF(L15="","",IF(L15="Muy Baja",0.2,IF(L15="Baja",0.4,IF(L15="Media",0.6,IF(L15="Alta",0.8,IF(L15="Muy Alta",1,))))))</f>
        <v>0.6</v>
      </c>
      <c r="N15" s="188" t="s">
        <v>147</v>
      </c>
      <c r="O15" s="188" t="str">
        <f ca="1">IF(NOT(ISERROR(MATCH(N15,'Tabla Impacto'!$B$221:$B$223,0))),'Tabla Impacto'!$F$223&amp;"Por favor no seleccionar los criterios de impacto(Afectación Económica o presupuestal y Pérdida Reputacional)",N15)</f>
        <v xml:space="preserve">     El riesgo afecta la imagen de la entidad internamente, de conocimiento general, nivel interno, de junta dircetiva y accionistas y/o de provedores</v>
      </c>
      <c r="P15" s="130"/>
      <c r="Q15" s="130"/>
      <c r="R15" s="130"/>
      <c r="S15" s="130"/>
      <c r="T15" s="130"/>
      <c r="U15" s="140"/>
      <c r="V15" s="140"/>
      <c r="W15" s="140"/>
      <c r="X15" s="140"/>
      <c r="Y15" s="140"/>
      <c r="Z15" s="140"/>
      <c r="AA15" s="140"/>
      <c r="AB15" s="140"/>
      <c r="AC15" s="140"/>
      <c r="AD15" s="130"/>
      <c r="AE15" s="130"/>
      <c r="AF15" s="130"/>
      <c r="AG15" s="130"/>
      <c r="AH15" s="130"/>
      <c r="AI15" s="187" t="str">
        <f ca="1">IF(OR(D15='Opciones Tratamiento'!$H$2,D15='Opciones Tratamiento'!$H$4),IF(OR(O15='Tabla Impacto'!$C$11,O15='Tabla Impacto'!$D$11),"Leve",IF(OR(O15='Tabla Impacto'!$C$12,O15='Tabla Impacto'!$D$12),"Menor",IF(OR(O15='Tabla Impacto'!$C$13,O15='Tabla Impacto'!$D$13),"Moderado",IF(OR(O15='Tabla Impacto'!$C$14,O15='Tabla Impacto'!$D$14),"Mayor",IF(OR(O15='Tabla Impacto'!$C$15,O15='Tabla Impacto'!$D$15),"Catastrófico",""))))),IF(D15='Opciones Tratamiento'!$H$3,IF(COUNTIF('Mapa final'!P15:AH15,"Si")&lt;=5,"Moderado",IF(AND(COUNTIF('Mapa final'!P15:AH15,"Si")&gt;5,COUNTIF('Mapa final'!P15:AH15,"Si")&lt;=10),"Mayor",IF(COUNTIF('Mapa final'!P15:AH15,"Si")&gt;10,"Catastrófico","")))))</f>
        <v>Menor</v>
      </c>
      <c r="AJ15" s="188">
        <f ca="1">IF(AI15="","",IF(AI15="Leve",0.2,IF(AI15="Menor",0.4,IF(AI15="Moderado",0.6,IF(AI15="Mayor",0.8,IF(AI15="Catastrófico",1,))))))</f>
        <v>0.4</v>
      </c>
      <c r="AK15" s="190" t="str">
        <f ca="1">IF(OR(AND(L15="Muy Baja",AI15="Leve"),AND(L15="Muy Baja",AI15="Menor"),AND(L15="Baja",AI15="Leve")),"Bajo",IF(OR(AND(L15="Muy baja",AI15="Moderado"),AND(L15="Baja",AI15="Menor"),AND(L15="Baja",AI15="Moderado"),AND(L15="Media",AI15="Leve"),AND(L15="Media",AI15="Menor"),AND(L15="Media",AI15="Moderado"),AND(L15="Alta",AI15="Leve"),AND(L15="Alta",AI15="Menor")),"Moderado",IF(OR(AND(L15="Muy Baja",AI15="Mayor"),AND(L15="Baja",AI15="Mayor"),AND(L15="Media",AI15="Mayor"),AND(L15="Alta",AI15="Moderado"),AND(L15="Alta",AI15="Mayor"),AND(L15="Muy Alta",AI15="Leve"),AND(L15="Muy Alta",AI15="Menor"),AND(L15="Muy Alta",AI15="Moderado"),AND(L15="Muy Alta",AI15="Mayor")),"Alto",IF(OR(AND(L15="Muy Baja",AI15="Catastrófico"),AND(L15="Baja",AI15="Catastrófico"),AND(L15="Media",AI15="Catastrófico"),AND(L15="Alta",AI15="Catastrófico"),AND(L15="Muy Alta",AI15="Catastrófico")),"Extremo",""))))</f>
        <v>Moderado</v>
      </c>
      <c r="AL15" s="127">
        <v>1</v>
      </c>
      <c r="AM15" s="127"/>
      <c r="AN15" s="127" t="e">
        <f>VLOOKUP(AM15,'Opciones Tratamiento'!$M$2:$O$37,3,FALSE)</f>
        <v>#N/A</v>
      </c>
      <c r="AO15" s="132" t="e">
        <f>VLOOKUP(AM15,'Opciones Tratamiento'!$M$2:$O$37,2,FALSE)</f>
        <v>#N/A</v>
      </c>
      <c r="AP15" s="132" t="s">
        <v>429</v>
      </c>
      <c r="AQ15" s="127" t="str">
        <f t="shared" si="0"/>
        <v>Probabilidad</v>
      </c>
      <c r="AR15" s="134" t="s">
        <v>165</v>
      </c>
      <c r="AS15" s="134" t="s">
        <v>173</v>
      </c>
      <c r="AT15" s="135" t="str">
        <f t="shared" si="1"/>
        <v>40%</v>
      </c>
      <c r="AU15" s="134" t="s">
        <v>176</v>
      </c>
      <c r="AV15" s="134" t="s">
        <v>181</v>
      </c>
      <c r="AW15" s="134" t="s">
        <v>185</v>
      </c>
      <c r="AX15" s="136">
        <f>IFERROR(IF(AQ15="Probabilidad",(M15-(+M15*AT15)),IF(AQ15="Impacto",M15,"")),"")</f>
        <v>0.36</v>
      </c>
      <c r="AY15" s="137" t="str">
        <f t="shared" si="2"/>
        <v>Baja</v>
      </c>
      <c r="AZ15" s="135">
        <f t="shared" si="3"/>
        <v>0.36</v>
      </c>
      <c r="BA15" s="137" t="str">
        <f t="shared" ca="1" si="4"/>
        <v>Menor</v>
      </c>
      <c r="BB15" s="135">
        <f ca="1">IFERROR(IF(AQ15="Impacto",(AJ15-(+AJ15*AT15)),IF(AQ15="Probabilidad",AJ15,"")),"")</f>
        <v>0.4</v>
      </c>
      <c r="BC15" s="138" t="str">
        <f t="shared" ca="1" si="5"/>
        <v>Moderado</v>
      </c>
      <c r="BD15" s="134" t="s">
        <v>196</v>
      </c>
      <c r="BE15" s="120"/>
      <c r="BF15" s="127"/>
      <c r="BG15" s="139"/>
      <c r="BH15" s="139"/>
      <c r="BI15" s="120"/>
      <c r="BJ15" s="127"/>
      <c r="BK15" s="18"/>
      <c r="BL15" s="18"/>
      <c r="BM15" s="18"/>
      <c r="BN15" s="18"/>
      <c r="BO15" s="18"/>
      <c r="BP15" s="18"/>
      <c r="BQ15" s="18"/>
      <c r="BR15" s="18"/>
      <c r="BS15" s="18"/>
      <c r="BT15" s="18"/>
      <c r="BU15" s="18"/>
      <c r="BV15" s="18"/>
      <c r="BW15" s="18"/>
      <c r="BX15" s="18"/>
      <c r="BY15" s="18"/>
      <c r="BZ15" s="18"/>
      <c r="CA15" s="18"/>
      <c r="CB15" s="18"/>
      <c r="CC15" s="18"/>
      <c r="CD15" s="18"/>
    </row>
    <row r="16" spans="1:82" ht="59.1" customHeight="1" x14ac:dyDescent="0.3">
      <c r="A16" s="184"/>
      <c r="B16" s="184"/>
      <c r="C16" s="186"/>
      <c r="D16" s="186"/>
      <c r="E16" s="186"/>
      <c r="F16" s="186"/>
      <c r="G16" s="186"/>
      <c r="H16" s="186"/>
      <c r="I16" s="186"/>
      <c r="J16" s="186"/>
      <c r="K16" s="186"/>
      <c r="L16" s="186"/>
      <c r="M16" s="186"/>
      <c r="N16" s="186"/>
      <c r="O16" s="186"/>
      <c r="P16" s="130"/>
      <c r="Q16" s="130"/>
      <c r="R16" s="130"/>
      <c r="S16" s="130"/>
      <c r="T16" s="130"/>
      <c r="U16" s="140"/>
      <c r="V16" s="140"/>
      <c r="W16" s="140"/>
      <c r="X16" s="140"/>
      <c r="Y16" s="140"/>
      <c r="Z16" s="140"/>
      <c r="AA16" s="140"/>
      <c r="AB16" s="140"/>
      <c r="AC16" s="140"/>
      <c r="AD16" s="130"/>
      <c r="AE16" s="130"/>
      <c r="AF16" s="130"/>
      <c r="AG16" s="130"/>
      <c r="AH16" s="130"/>
      <c r="AI16" s="186"/>
      <c r="AJ16" s="186"/>
      <c r="AK16" s="186"/>
      <c r="AL16" s="127">
        <v>2</v>
      </c>
      <c r="AM16" s="127"/>
      <c r="AN16" s="127" t="e">
        <f>VLOOKUP(AM16,'Opciones Tratamiento'!$M$2:$O$37,3,FALSE)</f>
        <v>#N/A</v>
      </c>
      <c r="AO16" s="132" t="e">
        <f>VLOOKUP(AM16,'Opciones Tratamiento'!$M$2:$O$37,2,FALSE)</f>
        <v>#N/A</v>
      </c>
      <c r="AP16" s="141" t="s">
        <v>580</v>
      </c>
      <c r="AQ16" s="127" t="str">
        <f t="shared" si="0"/>
        <v>Probabilidad</v>
      </c>
      <c r="AR16" s="134" t="s">
        <v>165</v>
      </c>
      <c r="AS16" s="134" t="s">
        <v>173</v>
      </c>
      <c r="AT16" s="135" t="str">
        <f t="shared" si="1"/>
        <v>40%</v>
      </c>
      <c r="AU16" s="134" t="s">
        <v>176</v>
      </c>
      <c r="AV16" s="134" t="s">
        <v>181</v>
      </c>
      <c r="AW16" s="134" t="s">
        <v>185</v>
      </c>
      <c r="AX16" s="136">
        <f>IFERROR(IF(AND(AQ15="Probabilidad",AQ16="Probabilidad"),(AZ15-(+AZ15*AT16)),IF(AQ16="Probabilidad",(M15-(+M15*AT16)),IF(AQ16="Impacto",AZ15,""))),"")</f>
        <v>0.216</v>
      </c>
      <c r="AY16" s="137" t="str">
        <f t="shared" si="2"/>
        <v>Baja</v>
      </c>
      <c r="AZ16" s="135">
        <f t="shared" si="3"/>
        <v>0.216</v>
      </c>
      <c r="BA16" s="137" t="str">
        <f t="shared" si="4"/>
        <v>Menor</v>
      </c>
      <c r="BB16" s="135">
        <v>0.4</v>
      </c>
      <c r="BC16" s="138" t="str">
        <f t="shared" si="5"/>
        <v>Moderado</v>
      </c>
      <c r="BD16" s="134" t="s">
        <v>196</v>
      </c>
      <c r="BE16" s="120"/>
      <c r="BF16" s="127"/>
      <c r="BG16" s="139"/>
      <c r="BH16" s="139"/>
      <c r="BI16" s="120"/>
      <c r="BJ16" s="127"/>
      <c r="BK16" s="18"/>
      <c r="BL16" s="18"/>
      <c r="BM16" s="18"/>
      <c r="BN16" s="18"/>
      <c r="BO16" s="18"/>
      <c r="BP16" s="18"/>
      <c r="BQ16" s="18"/>
      <c r="BR16" s="18"/>
      <c r="BS16" s="18"/>
      <c r="BT16" s="18"/>
      <c r="BU16" s="18"/>
      <c r="BV16" s="18"/>
      <c r="BW16" s="18"/>
      <c r="BX16" s="18"/>
      <c r="BY16" s="18"/>
      <c r="BZ16" s="18"/>
      <c r="CA16" s="18"/>
      <c r="CB16" s="18"/>
      <c r="CC16" s="18"/>
      <c r="CD16" s="18"/>
    </row>
    <row r="17" spans="1:82" ht="57.6" customHeight="1" x14ac:dyDescent="0.3">
      <c r="A17" s="184"/>
      <c r="B17" s="184"/>
      <c r="C17" s="186"/>
      <c r="D17" s="186"/>
      <c r="E17" s="186"/>
      <c r="F17" s="186"/>
      <c r="G17" s="186"/>
      <c r="H17" s="186"/>
      <c r="I17" s="186"/>
      <c r="J17" s="186"/>
      <c r="K17" s="186"/>
      <c r="L17" s="186"/>
      <c r="M17" s="186"/>
      <c r="N17" s="186"/>
      <c r="O17" s="186"/>
      <c r="P17" s="130"/>
      <c r="Q17" s="130"/>
      <c r="R17" s="130"/>
      <c r="S17" s="130"/>
      <c r="T17" s="130"/>
      <c r="U17" s="140"/>
      <c r="V17" s="140"/>
      <c r="W17" s="140"/>
      <c r="X17" s="140"/>
      <c r="Y17" s="140"/>
      <c r="Z17" s="140"/>
      <c r="AA17" s="140"/>
      <c r="AB17" s="140"/>
      <c r="AC17" s="140"/>
      <c r="AD17" s="130"/>
      <c r="AE17" s="130"/>
      <c r="AF17" s="130"/>
      <c r="AG17" s="130"/>
      <c r="AH17" s="130"/>
      <c r="AI17" s="186"/>
      <c r="AJ17" s="186"/>
      <c r="AK17" s="186"/>
      <c r="AL17" s="127">
        <v>3</v>
      </c>
      <c r="AM17" s="120"/>
      <c r="AN17" s="127" t="e">
        <f>VLOOKUP(AM17,'Opciones Tratamiento'!$M$2:$O$37,3,FALSE)</f>
        <v>#N/A</v>
      </c>
      <c r="AO17" s="132" t="e">
        <f>VLOOKUP(AM17,'Opciones Tratamiento'!$M$2:$O$37,2,FALSE)</f>
        <v>#N/A</v>
      </c>
      <c r="AP17" s="141" t="s">
        <v>581</v>
      </c>
      <c r="AQ17" s="127" t="str">
        <f t="shared" si="0"/>
        <v>Probabilidad</v>
      </c>
      <c r="AR17" s="134" t="s">
        <v>167</v>
      </c>
      <c r="AS17" s="134" t="s">
        <v>173</v>
      </c>
      <c r="AT17" s="135" t="str">
        <f t="shared" si="1"/>
        <v>30%</v>
      </c>
      <c r="AU17" s="134" t="s">
        <v>176</v>
      </c>
      <c r="AV17" s="134" t="s">
        <v>181</v>
      </c>
      <c r="AW17" s="134" t="s">
        <v>185</v>
      </c>
      <c r="AX17" s="136">
        <f t="shared" ref="AX17" si="6">IFERROR(IF(AND(AQ16="Probabilidad",AQ17="Probabilidad"),(AZ16-(+AZ16*AT17)),IF(AND(AQ16="Impacto",AQ17="Probabilidad"),(AZ15-(+AZ15*AT17)),IF(AQ17="Impacto",AZ16,""))),"")</f>
        <v>0.1512</v>
      </c>
      <c r="AY17" s="137" t="str">
        <f t="shared" si="2"/>
        <v>Muy Baja</v>
      </c>
      <c r="AZ17" s="135">
        <f t="shared" si="3"/>
        <v>0.1512</v>
      </c>
      <c r="BA17" s="137" t="str">
        <f t="shared" si="4"/>
        <v>Menor</v>
      </c>
      <c r="BB17" s="135">
        <f t="shared" ref="BB17" si="7">IFERROR(IF(AND(AQ16="Impacto",AQ17="Impacto"),(BB16-(+BB16*AT17)),IF(AND(AQ16="Probabilidad",AQ17="Impacto"),(BB15-(+BB15*AT17)),IF(AQ17="Probabilidad",BB16,""))),"")</f>
        <v>0.4</v>
      </c>
      <c r="BC17" s="138" t="str">
        <f t="shared" si="5"/>
        <v>Bajo</v>
      </c>
      <c r="BD17" s="134" t="s">
        <v>190</v>
      </c>
      <c r="BE17" s="120"/>
      <c r="BF17" s="127"/>
      <c r="BG17" s="139"/>
      <c r="BH17" s="139"/>
      <c r="BI17" s="120"/>
      <c r="BJ17" s="127"/>
      <c r="BK17" s="18"/>
      <c r="BL17" s="18"/>
      <c r="BM17" s="18"/>
      <c r="BN17" s="18"/>
      <c r="BO17" s="18"/>
      <c r="BP17" s="18"/>
      <c r="BQ17" s="18"/>
      <c r="BR17" s="18"/>
      <c r="BS17" s="18"/>
      <c r="BT17" s="18"/>
      <c r="BU17" s="18"/>
      <c r="BV17" s="18"/>
      <c r="BW17" s="18"/>
      <c r="BX17" s="18"/>
      <c r="BY17" s="18"/>
      <c r="BZ17" s="18"/>
      <c r="CA17" s="18"/>
      <c r="CB17" s="18"/>
      <c r="CC17" s="18"/>
      <c r="CD17" s="18"/>
    </row>
    <row r="18" spans="1:82" ht="57.6" customHeight="1" x14ac:dyDescent="0.3">
      <c r="A18" s="120">
        <v>5</v>
      </c>
      <c r="B18" s="120" t="s">
        <v>403</v>
      </c>
      <c r="C18" s="120" t="s">
        <v>195</v>
      </c>
      <c r="D18" s="120" t="s">
        <v>217</v>
      </c>
      <c r="E18" s="120"/>
      <c r="F18" s="120" t="s">
        <v>430</v>
      </c>
      <c r="G18" s="120" t="s">
        <v>431</v>
      </c>
      <c r="H18" s="120" t="str">
        <f>_xlfn.CONCAT("Posibilidad de afectación ",IF(C18='Opciones Tratamiento'!$E$2,"económica",IF(C18='Opciones Tratamiento'!$E$4,"económica y reputacional",LOWER(C18)))," por ",LOWER(F18), ", debido a ",LOWER(G18))</f>
        <v>Posibilidad de afectación económica y reputacional por incumplimiento de plan institucional de capacitaciones, debido a debilidades en la planeación , deficiente diagnóstico de las necesidades,</v>
      </c>
      <c r="I18" s="120" t="s">
        <v>201</v>
      </c>
      <c r="J18" s="127" t="s">
        <v>231</v>
      </c>
      <c r="K18" s="127" t="s">
        <v>250</v>
      </c>
      <c r="L18" s="129" t="str">
        <f>IF(OR(K18='Opciones Tratamiento'!$K$14,K18='Opciones Tratamiento'!$K$15,K18='Opciones Tratamiento'!$K$16),"Muy Baja",IF(OR(K18='Opciones Tratamiento'!$K$10,K18='Opciones Tratamiento'!$K$11,K18='Opciones Tratamiento'!$K$12,K18='Opciones Tratamiento'!$K$13),"Baja",IF(OR(K18='Opciones Tratamiento'!$K$4,K18='Opciones Tratamiento'!$K$5,K18='Opciones Tratamiento'!$K$6,K18='Opciones Tratamiento'!$K$7,K18='Opciones Tratamiento'!$K$8,K18='Opciones Tratamiento'!$K$9),"Media",IF(K18='Opciones Tratamiento'!$K$3,"Alta",IF(OR(K18='Opciones Tratamiento'!$K$2,K18='Opciones Tratamiento'!$K$17),"Muy Alta")))))</f>
        <v>Baja</v>
      </c>
      <c r="M18" s="130">
        <f>IF(L18="","",IF(L18="Muy Baja",0.2,IF(L18="Baja",0.4,IF(L18="Media",0.6,IF(L18="Alta",0.8,IF(L18="Muy Alta",1,))))))</f>
        <v>0.4</v>
      </c>
      <c r="N18" s="130" t="s">
        <v>147</v>
      </c>
      <c r="O18" s="130" t="str">
        <f ca="1">IF(NOT(ISERROR(MATCH(N18,'Tabla Impacto'!$B$221:$B$223,0))),'Tabla Impacto'!$F$223&amp;"Por favor no seleccionar los criterios de impacto(Afectación Económica o presupuestal y Pérdida Reputacional)",N18)</f>
        <v xml:space="preserve">     El riesgo afecta la imagen de la entidad internamente, de conocimiento general, nivel interno, de junta dircetiva y accionistas y/o de provedores</v>
      </c>
      <c r="P18" s="130"/>
      <c r="Q18" s="130"/>
      <c r="R18" s="130"/>
      <c r="S18" s="130"/>
      <c r="T18" s="130"/>
      <c r="U18" s="140"/>
      <c r="V18" s="140"/>
      <c r="W18" s="140"/>
      <c r="X18" s="140"/>
      <c r="Y18" s="140"/>
      <c r="Z18" s="140"/>
      <c r="AA18" s="140"/>
      <c r="AB18" s="140"/>
      <c r="AC18" s="140"/>
      <c r="AD18" s="130"/>
      <c r="AE18" s="130"/>
      <c r="AF18" s="130"/>
      <c r="AG18" s="130"/>
      <c r="AH18" s="130"/>
      <c r="AI18" s="129" t="str">
        <f ca="1">IF(OR(D18='Opciones Tratamiento'!$H$2,D18='Opciones Tratamiento'!$H$4),IF(OR(O18='Tabla Impacto'!$C$11,O18='Tabla Impacto'!$D$11),"Leve",IF(OR(O18='Tabla Impacto'!$C$12,O18='Tabla Impacto'!$D$12),"Menor",IF(OR(O18='Tabla Impacto'!$C$13,O18='Tabla Impacto'!$D$13),"Moderado",IF(OR(O18='Tabla Impacto'!$C$14,O18='Tabla Impacto'!$D$14),"Mayor",IF(OR(O18='Tabla Impacto'!$C$15,O18='Tabla Impacto'!$D$15),"Catastrófico",""))))),IF(D18='Opciones Tratamiento'!$H$3,IF(COUNTIF('Mapa final'!P18:AH18,"Si")&lt;=5,"Moderado",IF(AND(COUNTIF('Mapa final'!P18:AH18,"Si")&gt;5,COUNTIF('Mapa final'!P18:AH18,"Si")&lt;=10),"Mayor",IF(COUNTIF('Mapa final'!P18:AH18,"Si")&gt;10,"Catastrófico","")))))</f>
        <v>Menor</v>
      </c>
      <c r="AJ18" s="130">
        <f ca="1">IF(AI18="","",IF(AI18="Leve",0.2,IF(AI18="Menor",0.4,IF(AI18="Moderado",0.6,IF(AI18="Mayor",0.8,IF(AI18="Catastrófico",1,))))))</f>
        <v>0.4</v>
      </c>
      <c r="AK18" s="131" t="str">
        <f ca="1">IF(OR(AND(L18="Muy Baja",AI18="Leve"),AND(L18="Muy Baja",AI18="Menor"),AND(L18="Baja",AI18="Leve")),"Bajo",IF(OR(AND(L18="Muy baja",AI18="Moderado"),AND(L18="Baja",AI18="Menor"),AND(L18="Baja",AI18="Moderado"),AND(L18="Media",AI18="Leve"),AND(L18="Media",AI18="Menor"),AND(L18="Media",AI18="Moderado"),AND(L18="Alta",AI18="Leve"),AND(L18="Alta",AI18="Menor")),"Moderado",IF(OR(AND(L18="Muy Baja",AI18="Mayor"),AND(L18="Baja",AI18="Mayor"),AND(L18="Media",AI18="Mayor"),AND(L18="Alta",AI18="Moderado"),AND(L18="Alta",AI18="Mayor"),AND(L18="Muy Alta",AI18="Leve"),AND(L18="Muy Alta",AI18="Menor"),AND(L18="Muy Alta",AI18="Moderado"),AND(L18="Muy Alta",AI18="Mayor")),"Alto",IF(OR(AND(L18="Muy Baja",AI18="Catastrófico"),AND(L18="Baja",AI18="Catastrófico"),AND(L18="Media",AI18="Catastrófico"),AND(L18="Alta",AI18="Catastrófico"),AND(L18="Muy Alta",AI18="Catastrófico")),"Extremo",""))))</f>
        <v>Moderado</v>
      </c>
      <c r="AL18" s="127">
        <v>1</v>
      </c>
      <c r="AM18" s="120"/>
      <c r="AN18" s="127" t="e">
        <f>VLOOKUP(AM18,'Opciones Tratamiento'!$M$2:$O$37,3,FALSE)</f>
        <v>#N/A</v>
      </c>
      <c r="AO18" s="132" t="e">
        <f>VLOOKUP(AM18,'Opciones Tratamiento'!$M$2:$O$37,2,FALSE)</f>
        <v>#N/A</v>
      </c>
      <c r="AP18" s="132" t="s">
        <v>432</v>
      </c>
      <c r="AQ18" s="127" t="str">
        <f t="shared" si="0"/>
        <v>Probabilidad</v>
      </c>
      <c r="AR18" s="134" t="s">
        <v>165</v>
      </c>
      <c r="AS18" s="134" t="s">
        <v>173</v>
      </c>
      <c r="AT18" s="135" t="str">
        <f t="shared" si="1"/>
        <v>40%</v>
      </c>
      <c r="AU18" s="134" t="s">
        <v>176</v>
      </c>
      <c r="AV18" s="134" t="s">
        <v>181</v>
      </c>
      <c r="AW18" s="134" t="s">
        <v>185</v>
      </c>
      <c r="AX18" s="136">
        <f>IFERROR(IF(AQ18="Probabilidad",(M18-(+M18*AT18)),IF(AQ18="Impacto",M18,"")),"")</f>
        <v>0.24</v>
      </c>
      <c r="AY18" s="137" t="str">
        <f t="shared" si="2"/>
        <v>Baja</v>
      </c>
      <c r="AZ18" s="135">
        <f t="shared" si="3"/>
        <v>0.24</v>
      </c>
      <c r="BA18" s="137" t="str">
        <f t="shared" ca="1" si="4"/>
        <v>Menor</v>
      </c>
      <c r="BB18" s="135">
        <f ca="1">IFERROR(IF(AQ18="Impacto",(AJ18-(+AJ18*AT18)),IF(AQ18="Probabilidad",AJ18,"")),"")</f>
        <v>0.4</v>
      </c>
      <c r="BC18" s="138" t="str">
        <f t="shared" ca="1" si="5"/>
        <v>Moderado</v>
      </c>
      <c r="BD18" s="134" t="s">
        <v>190</v>
      </c>
      <c r="BE18" s="120"/>
      <c r="BF18" s="127"/>
      <c r="BG18" s="139"/>
      <c r="BH18" s="139"/>
      <c r="BI18" s="120"/>
      <c r="BJ18" s="127"/>
      <c r="BK18" s="18"/>
      <c r="BL18" s="18"/>
      <c r="BM18" s="18"/>
      <c r="BN18" s="18"/>
      <c r="BO18" s="18"/>
      <c r="BP18" s="18"/>
      <c r="BQ18" s="18"/>
      <c r="BR18" s="18"/>
      <c r="BS18" s="18"/>
      <c r="BT18" s="18"/>
      <c r="BU18" s="18"/>
      <c r="BV18" s="18"/>
      <c r="BW18" s="18"/>
      <c r="BX18" s="18"/>
      <c r="BY18" s="18"/>
      <c r="BZ18" s="18"/>
      <c r="CA18" s="18"/>
      <c r="CB18" s="18"/>
      <c r="CC18" s="18"/>
      <c r="CD18" s="18"/>
    </row>
    <row r="19" spans="1:82" ht="71.45" customHeight="1" x14ac:dyDescent="0.3">
      <c r="A19" s="198">
        <v>6</v>
      </c>
      <c r="B19" s="183" t="s">
        <v>433</v>
      </c>
      <c r="C19" s="183" t="s">
        <v>193</v>
      </c>
      <c r="D19" s="183" t="s">
        <v>217</v>
      </c>
      <c r="E19" s="183"/>
      <c r="F19" s="183" t="s">
        <v>434</v>
      </c>
      <c r="G19" s="183" t="s">
        <v>435</v>
      </c>
      <c r="H19" s="183" t="str">
        <f>_xlfn.CONCAT("Posibilidad de afectación ",IF(C19='Opciones Tratamiento'!$E$2,"económica",IF(C19='Opciones Tratamiento'!$E$4,"económica y reputacional",LOWER(C19)))," por ",LOWER(F19), ", debido a ",LOWER(G19))</f>
        <v>Posibilidad de afectación reputacional por falta de oportunidad en  la asesoría para la planeación institucional  y la  implementación del mipg., debido a desconocimiento  o no aplicación  de los lineamientos, necesidades institucionales y marco legal para la formulación de planes, programas y proyectos por parte de las personas del proceso de planeación institucional</v>
      </c>
      <c r="I19" s="183" t="s">
        <v>201</v>
      </c>
      <c r="J19" s="185" t="s">
        <v>231</v>
      </c>
      <c r="K19" s="185" t="s">
        <v>243</v>
      </c>
      <c r="L19" s="187" t="str">
        <f>IF(OR(K19='Opciones Tratamiento'!$K$14,K19='Opciones Tratamiento'!$K$15,K19='Opciones Tratamiento'!$K$16),"Muy Baja",IF(OR(K19='Opciones Tratamiento'!$K$10,K19='Opciones Tratamiento'!$K$11,K19='Opciones Tratamiento'!$K$12,K19='Opciones Tratamiento'!$K$13),"Baja",IF(OR(K19='Opciones Tratamiento'!$K$4,K19='Opciones Tratamiento'!$K$5,K19='Opciones Tratamiento'!$K$6,K19='Opciones Tratamiento'!$K$7,K19='Opciones Tratamiento'!$K$8,K19='Opciones Tratamiento'!$K$9),"Media",IF(K19='Opciones Tratamiento'!$K$3,"Alta",IF(OR(K19='Opciones Tratamiento'!$K$2,K19='Opciones Tratamiento'!$K$17),"Muy Alta")))))</f>
        <v>Media</v>
      </c>
      <c r="M19" s="188">
        <f>IF(L19="","",IF(L19="Muy Baja",0.2,IF(L19="Baja",0.4,IF(L19="Media",0.6,IF(L19="Alta",0.8,IF(L19="Muy Alta",1,))))))</f>
        <v>0.6</v>
      </c>
      <c r="N19" s="188" t="s">
        <v>149</v>
      </c>
      <c r="O19" s="188" t="str">
        <f ca="1">IF(NOT(ISERROR(MATCH(N19,'Tabla Impacto'!$B$221:$B$223,0))),'Tabla Impacto'!$F$223&amp;"Por favor no seleccionar los criterios de impacto(Afectación Económica o presupuestal y Pérdida Reputacional)",N19)</f>
        <v xml:space="preserve">     El riesgo afecta la imagen de la entidad con algunos usuarios de relevancia frente al logro de los objetivos</v>
      </c>
      <c r="P19" s="130"/>
      <c r="Q19" s="130"/>
      <c r="R19" s="130"/>
      <c r="S19" s="130"/>
      <c r="T19" s="130"/>
      <c r="U19" s="140"/>
      <c r="V19" s="140"/>
      <c r="W19" s="140"/>
      <c r="X19" s="140"/>
      <c r="Y19" s="140"/>
      <c r="Z19" s="140"/>
      <c r="AA19" s="140"/>
      <c r="AB19" s="140"/>
      <c r="AC19" s="140"/>
      <c r="AD19" s="130"/>
      <c r="AE19" s="130"/>
      <c r="AF19" s="130"/>
      <c r="AG19" s="130"/>
      <c r="AH19" s="130"/>
      <c r="AI19" s="187" t="str">
        <f ca="1">IF(OR(D19='Opciones Tratamiento'!$H$2,D19='Opciones Tratamiento'!$H$4),IF(OR(O19='Tabla Impacto'!$C$11,O19='Tabla Impacto'!$D$11),"Leve",IF(OR(O19='Tabla Impacto'!$C$12,O19='Tabla Impacto'!$D$12),"Menor",IF(OR(O19='Tabla Impacto'!$C$13,O19='Tabla Impacto'!$D$13),"Moderado",IF(OR(O19='Tabla Impacto'!$C$14,O19='Tabla Impacto'!$D$14),"Mayor",IF(OR(O19='Tabla Impacto'!$C$15,O19='Tabla Impacto'!$D$15),"Catastrófico",""))))),IF(D19='Opciones Tratamiento'!$H$3,IF(COUNTIF('Mapa final'!P19:AH19,"Si")&lt;=5,"Moderado",IF(AND(COUNTIF('Mapa final'!P19:AH19,"Si")&gt;5,COUNTIF('Mapa final'!P19:AH19,"Si")&lt;=10),"Mayor",IF(COUNTIF('Mapa final'!P19:AH19,"Si")&gt;10,"Catastrófico","")))))</f>
        <v>Moderado</v>
      </c>
      <c r="AJ19" s="188">
        <f ca="1">IF(AI19="","",IF(AI19="Leve",0.2,IF(AI19="Menor",0.4,IF(AI19="Moderado",0.6,IF(AI19="Mayor",0.8,IF(AI19="Catastrófico",1,))))))</f>
        <v>0.6</v>
      </c>
      <c r="AK19" s="190" t="str">
        <f ca="1">IF(OR(AND(L19="Muy Baja",AI19="Leve"),AND(L19="Muy Baja",AI19="Menor"),AND(L19="Baja",AI19="Leve")),"Bajo",IF(OR(AND(L19="Muy baja",AI19="Moderado"),AND(L19="Baja",AI19="Menor"),AND(L19="Baja",AI19="Moderado"),AND(L19="Media",AI19="Leve"),AND(L19="Media",AI19="Menor"),AND(L19="Media",AI19="Moderado"),AND(L19="Alta",AI19="Leve"),AND(L19="Alta",AI19="Menor")),"Moderado",IF(OR(AND(L19="Muy Baja",AI19="Mayor"),AND(L19="Baja",AI19="Mayor"),AND(L19="Media",AI19="Mayor"),AND(L19="Alta",AI19="Moderado"),AND(L19="Alta",AI19="Mayor"),AND(L19="Muy Alta",AI19="Leve"),AND(L19="Muy Alta",AI19="Menor"),AND(L19="Muy Alta",AI19="Moderado"),AND(L19="Muy Alta",AI19="Mayor")),"Alto",IF(OR(AND(L19="Muy Baja",AI19="Catastrófico"),AND(L19="Baja",AI19="Catastrófico"),AND(L19="Media",AI19="Catastrófico"),AND(L19="Alta",AI19="Catastrófico"),AND(L19="Muy Alta",AI19="Catastrófico")),"Extremo",""))))</f>
        <v>Moderado</v>
      </c>
      <c r="AL19" s="127">
        <v>1</v>
      </c>
      <c r="AM19" s="127"/>
      <c r="AN19" s="127" t="e">
        <f>VLOOKUP(AM19,'Opciones Tratamiento'!$M$2:$O$37,3,FALSE)</f>
        <v>#N/A</v>
      </c>
      <c r="AO19" s="132" t="e">
        <f>VLOOKUP(AM19,'Opciones Tratamiento'!$M$2:$O$37,2,FALSE)</f>
        <v>#N/A</v>
      </c>
      <c r="AP19" s="133" t="s">
        <v>436</v>
      </c>
      <c r="AQ19" s="127" t="str">
        <f t="shared" si="0"/>
        <v>Probabilidad</v>
      </c>
      <c r="AR19" s="134" t="s">
        <v>165</v>
      </c>
      <c r="AS19" s="134" t="s">
        <v>173</v>
      </c>
      <c r="AT19" s="135" t="str">
        <f t="shared" si="1"/>
        <v>40%</v>
      </c>
      <c r="AU19" s="134" t="s">
        <v>176</v>
      </c>
      <c r="AV19" s="134" t="s">
        <v>181</v>
      </c>
      <c r="AW19" s="134" t="s">
        <v>185</v>
      </c>
      <c r="AX19" s="136">
        <f>IFERROR(IF(AQ19="Probabilidad",(M19-(+M19*AT19)),IF(AQ19="Impacto",M19,"")),"")</f>
        <v>0.36</v>
      </c>
      <c r="AY19" s="137" t="str">
        <f t="shared" si="2"/>
        <v>Baja</v>
      </c>
      <c r="AZ19" s="135">
        <f t="shared" si="3"/>
        <v>0.36</v>
      </c>
      <c r="BA19" s="137" t="str">
        <f t="shared" ca="1" si="4"/>
        <v>Moderado</v>
      </c>
      <c r="BB19" s="135">
        <f ca="1">IFERROR(IF(AQ19="Impacto",(AJ19-(+AJ19*AT19)),IF(AQ19="Probabilidad",AJ19,"")),"")</f>
        <v>0.6</v>
      </c>
      <c r="BC19" s="138" t="str">
        <f t="shared" ca="1" si="5"/>
        <v>Moderado</v>
      </c>
      <c r="BD19" s="134" t="s">
        <v>196</v>
      </c>
      <c r="BE19" s="120"/>
      <c r="BF19" s="127"/>
      <c r="BG19" s="139"/>
      <c r="BH19" s="139"/>
      <c r="BI19" s="120"/>
      <c r="BJ19" s="127"/>
      <c r="BK19" s="18"/>
      <c r="BL19" s="18"/>
      <c r="BM19" s="18"/>
      <c r="BN19" s="18"/>
      <c r="BO19" s="18"/>
      <c r="BP19" s="18"/>
      <c r="BQ19" s="18"/>
      <c r="BR19" s="18"/>
      <c r="BS19" s="18"/>
      <c r="BT19" s="18"/>
      <c r="BU19" s="18"/>
      <c r="BV19" s="18"/>
      <c r="BW19" s="18"/>
      <c r="BX19" s="18"/>
      <c r="BY19" s="18"/>
      <c r="BZ19" s="18"/>
      <c r="CA19" s="18"/>
      <c r="CB19" s="18"/>
      <c r="CC19" s="18"/>
      <c r="CD19" s="18"/>
    </row>
    <row r="20" spans="1:82" ht="71.45" customHeight="1" x14ac:dyDescent="0.3">
      <c r="A20" s="198"/>
      <c r="B20" s="183"/>
      <c r="C20" s="186"/>
      <c r="D20" s="186"/>
      <c r="E20" s="186"/>
      <c r="F20" s="186"/>
      <c r="G20" s="186"/>
      <c r="H20" s="186"/>
      <c r="I20" s="186"/>
      <c r="J20" s="186"/>
      <c r="K20" s="186"/>
      <c r="L20" s="186"/>
      <c r="M20" s="186"/>
      <c r="N20" s="186"/>
      <c r="O20" s="186"/>
      <c r="P20" s="130"/>
      <c r="Q20" s="130"/>
      <c r="R20" s="130"/>
      <c r="S20" s="130"/>
      <c r="T20" s="130"/>
      <c r="U20" s="140"/>
      <c r="V20" s="140"/>
      <c r="W20" s="140"/>
      <c r="X20" s="140"/>
      <c r="Y20" s="140"/>
      <c r="Z20" s="140"/>
      <c r="AA20" s="140"/>
      <c r="AB20" s="140"/>
      <c r="AC20" s="140"/>
      <c r="AD20" s="130"/>
      <c r="AE20" s="130"/>
      <c r="AF20" s="130"/>
      <c r="AG20" s="130"/>
      <c r="AH20" s="130"/>
      <c r="AI20" s="186"/>
      <c r="AJ20" s="186"/>
      <c r="AK20" s="186"/>
      <c r="AL20" s="127">
        <v>2</v>
      </c>
      <c r="AM20" s="127"/>
      <c r="AN20" s="127" t="e">
        <f>VLOOKUP(AM20,'Opciones Tratamiento'!$M$2:$O$37,3,FALSE)</f>
        <v>#N/A</v>
      </c>
      <c r="AO20" s="132" t="e">
        <f>VLOOKUP(AM20,'Opciones Tratamiento'!$M$2:$O$37,2,FALSE)</f>
        <v>#N/A</v>
      </c>
      <c r="AP20" s="133" t="s">
        <v>437</v>
      </c>
      <c r="AQ20" s="127" t="str">
        <f t="shared" si="0"/>
        <v>Probabilidad</v>
      </c>
      <c r="AR20" s="134" t="s">
        <v>165</v>
      </c>
      <c r="AS20" s="134" t="s">
        <v>173</v>
      </c>
      <c r="AT20" s="135" t="str">
        <f t="shared" si="1"/>
        <v>40%</v>
      </c>
      <c r="AU20" s="134" t="s">
        <v>176</v>
      </c>
      <c r="AV20" s="134" t="s">
        <v>181</v>
      </c>
      <c r="AW20" s="134" t="s">
        <v>185</v>
      </c>
      <c r="AX20" s="136">
        <f>IFERROR(IF(AND(AQ19="Probabilidad",AQ20="Probabilidad"),(AZ19-(+AZ19*AT20)),IF(AQ20="Probabilidad",(M19-(+M19*AT20)),IF(AQ20="Impacto",AZ19,""))),"")</f>
        <v>0.216</v>
      </c>
      <c r="AY20" s="137" t="str">
        <f t="shared" si="2"/>
        <v>Baja</v>
      </c>
      <c r="AZ20" s="135">
        <f t="shared" si="3"/>
        <v>0.216</v>
      </c>
      <c r="BA20" s="137" t="str">
        <f t="shared" ca="1" si="4"/>
        <v>Menor</v>
      </c>
      <c r="BB20" s="135">
        <f ca="1">IFERROR(IF(AND(AQ19="Impacto",AQ20="Impacto"),(BB18-(+BB18*AT20)),IF(AQ20="Impacto",($AJ$19-(+$AJ$19*AT20)),IF(AQ20="Probabilidad",BB18,""))),"")</f>
        <v>0.4</v>
      </c>
      <c r="BC20" s="138" t="str">
        <f t="shared" ca="1" si="5"/>
        <v>Moderado</v>
      </c>
      <c r="BD20" s="134" t="s">
        <v>190</v>
      </c>
      <c r="BE20" s="120"/>
      <c r="BF20" s="133"/>
      <c r="BG20" s="142"/>
      <c r="BH20" s="142"/>
      <c r="BI20" s="120"/>
      <c r="BJ20" s="127"/>
      <c r="BK20" s="18"/>
      <c r="BL20" s="18"/>
      <c r="BM20" s="18"/>
      <c r="BN20" s="18"/>
      <c r="BO20" s="18"/>
      <c r="BP20" s="18"/>
      <c r="BQ20" s="18"/>
      <c r="BR20" s="18"/>
      <c r="BS20" s="18"/>
      <c r="BT20" s="18"/>
      <c r="BU20" s="18"/>
      <c r="BV20" s="18"/>
      <c r="BW20" s="18"/>
      <c r="BX20" s="18"/>
      <c r="BY20" s="18"/>
      <c r="BZ20" s="18"/>
      <c r="CA20" s="18"/>
      <c r="CB20" s="18"/>
      <c r="CC20" s="18"/>
      <c r="CD20" s="18"/>
    </row>
    <row r="21" spans="1:82" ht="79.5" customHeight="1" x14ac:dyDescent="0.3">
      <c r="A21" s="199">
        <v>7</v>
      </c>
      <c r="B21" s="183" t="s">
        <v>438</v>
      </c>
      <c r="C21" s="183" t="s">
        <v>193</v>
      </c>
      <c r="D21" s="183" t="s">
        <v>217</v>
      </c>
      <c r="E21" s="183"/>
      <c r="F21" s="183" t="s">
        <v>439</v>
      </c>
      <c r="G21" s="183" t="s">
        <v>440</v>
      </c>
      <c r="H21" s="183" t="str">
        <f>_xlfn.CONCAT("Posibilidad de afectación ",IF(C21='Opciones Tratamiento'!$E$2,"económica",IF(C21='Opciones Tratamiento'!$E$4,"económica y reputacional",LOWER(C21)))," por ",LOWER(F21), ", debido a ",LOWER(G21))</f>
        <v>Posibilidad de afectación reputacional por entrega de los productos estadísticos por fuera de los plazos establecidos según cronograma anual  de publicaciones estadísticas de la ssf, debido a falta de oportunidad en el reporte de la información por parte de las ccf para la elaboración de los productos estadísticos 
demoras en el procesamiento interno de la información</v>
      </c>
      <c r="I21" s="183" t="s">
        <v>201</v>
      </c>
      <c r="J21" s="185" t="s">
        <v>231</v>
      </c>
      <c r="K21" s="185" t="s">
        <v>247</v>
      </c>
      <c r="L21" s="187" t="str">
        <f>IF(OR(K21='Opciones Tratamiento'!$K$14,K21='Opciones Tratamiento'!$K$15,K21='Opciones Tratamiento'!$K$16),"Muy Baja",IF(OR(K21='Opciones Tratamiento'!$K$10,K21='Opciones Tratamiento'!$K$11,K21='Opciones Tratamiento'!$K$12,K21='Opciones Tratamiento'!$K$13),"Baja",IF(OR(K21='Opciones Tratamiento'!$K$4,K21='Opciones Tratamiento'!$K$5,K21='Opciones Tratamiento'!$K$6,K21='Opciones Tratamiento'!$K$7,K21='Opciones Tratamiento'!$K$8,K21='Opciones Tratamiento'!$K$9),"Media",IF(K21='Opciones Tratamiento'!$K$3,"Alta",IF(OR(K21='Opciones Tratamiento'!$K$2,K21='Opciones Tratamiento'!$K$17),"Muy Alta")))))</f>
        <v>Media</v>
      </c>
      <c r="M21" s="188">
        <f>IF(L21="","",IF(L21="Muy Baja",0.2,IF(L21="Baja",0.4,IF(L21="Media",0.6,IF(L21="Alta",0.8,IF(L21="Muy Alta",1,))))))</f>
        <v>0.6</v>
      </c>
      <c r="N21" s="188" t="s">
        <v>149</v>
      </c>
      <c r="O21" s="188" t="str">
        <f ca="1">IF(NOT(ISERROR(MATCH(N21,'Tabla Impacto'!$B$221:$B$223,0))),'Tabla Impacto'!$F$223&amp;"Por favor no seleccionar los criterios de impacto(Afectación Económica o presupuestal y Pérdida Reputacional)",N21)</f>
        <v xml:space="preserve">     El riesgo afecta la imagen de la entidad con algunos usuarios de relevancia frente al logro de los objetivos</v>
      </c>
      <c r="P21" s="130"/>
      <c r="Q21" s="130"/>
      <c r="R21" s="130"/>
      <c r="S21" s="130"/>
      <c r="T21" s="130"/>
      <c r="U21" s="140"/>
      <c r="V21" s="140"/>
      <c r="W21" s="140"/>
      <c r="X21" s="140"/>
      <c r="Y21" s="140"/>
      <c r="Z21" s="140"/>
      <c r="AA21" s="140"/>
      <c r="AB21" s="140"/>
      <c r="AC21" s="140"/>
      <c r="AD21" s="130"/>
      <c r="AE21" s="130"/>
      <c r="AF21" s="130"/>
      <c r="AG21" s="130"/>
      <c r="AH21" s="130"/>
      <c r="AI21" s="187" t="str">
        <f ca="1">IF(OR(D21='Opciones Tratamiento'!$H$2,D21='Opciones Tratamiento'!$H$4),IF(OR(O21='Tabla Impacto'!$C$11,O21='Tabla Impacto'!$D$11),"Leve",IF(OR(O21='Tabla Impacto'!$C$12,O21='Tabla Impacto'!$D$12),"Menor",IF(OR(O21='Tabla Impacto'!$C$13,O21='Tabla Impacto'!$D$13),"Moderado",IF(OR(O21='Tabla Impacto'!$C$14,O21='Tabla Impacto'!$D$14),"Mayor",IF(OR(O21='Tabla Impacto'!$C$15,O21='Tabla Impacto'!$D$15),"Catastrófico",""))))),IF(D21='Opciones Tratamiento'!$H$3,IF(COUNTIF('Mapa final'!P21:AH21,"Si")&lt;=5,"Moderado",IF(AND(COUNTIF('Mapa final'!P21:AH21,"Si")&gt;5,COUNTIF('Mapa final'!P21:AH21,"Si")&lt;=10),"Mayor",IF(COUNTIF('Mapa final'!P21:AH21,"Si")&gt;10,"Catastrófico","")))))</f>
        <v>Moderado</v>
      </c>
      <c r="AJ21" s="188">
        <f ca="1">IF(AI21="","",IF(AI21="Leve",0.2,IF(AI21="Menor",0.4,IF(AI21="Moderado",0.6,IF(AI21="Mayor",0.8,IF(AI21="Catastrófico",1,))))))</f>
        <v>0.6</v>
      </c>
      <c r="AK21" s="190" t="str">
        <f ca="1">IF(OR(AND(L21="Muy Baja",AI21="Leve"),AND(L21="Muy Baja",AI21="Menor"),AND(L21="Baja",AI21="Leve")),"Bajo",IF(OR(AND(L21="Muy baja",AI21="Moderado"),AND(L21="Baja",AI21="Menor"),AND(L21="Baja",AI21="Moderado"),AND(L21="Media",AI21="Leve"),AND(L21="Media",AI21="Menor"),AND(L21="Media",AI21="Moderado"),AND(L21="Alta",AI21="Leve"),AND(L21="Alta",AI21="Menor")),"Moderado",IF(OR(AND(L21="Muy Baja",AI21="Mayor"),AND(L21="Baja",AI21="Mayor"),AND(L21="Media",AI21="Mayor"),AND(L21="Alta",AI21="Moderado"),AND(L21="Alta",AI21="Mayor"),AND(L21="Muy Alta",AI21="Leve"),AND(L21="Muy Alta",AI21="Menor"),AND(L21="Muy Alta",AI21="Moderado"),AND(L21="Muy Alta",AI21="Mayor")),"Alto",IF(OR(AND(L21="Muy Baja",AI21="Catastrófico"),AND(L21="Baja",AI21="Catastrófico"),AND(L21="Media",AI21="Catastrófico"),AND(L21="Alta",AI21="Catastrófico"),AND(L21="Muy Alta",AI21="Catastrófico")),"Extremo",""))))</f>
        <v>Moderado</v>
      </c>
      <c r="AL21" s="127">
        <v>1</v>
      </c>
      <c r="AM21" s="127"/>
      <c r="AN21" s="127" t="e">
        <f>VLOOKUP(AM21,'Opciones Tratamiento'!$M$2:$O$37,3,FALSE)</f>
        <v>#N/A</v>
      </c>
      <c r="AO21" s="132" t="e">
        <f>VLOOKUP(AM21,'Opciones Tratamiento'!$M$2:$O$37,2,FALSE)</f>
        <v>#N/A</v>
      </c>
      <c r="AP21" s="133" t="s">
        <v>441</v>
      </c>
      <c r="AQ21" s="127" t="str">
        <f t="shared" si="0"/>
        <v>Probabilidad</v>
      </c>
      <c r="AR21" s="134" t="s">
        <v>165</v>
      </c>
      <c r="AS21" s="134" t="s">
        <v>173</v>
      </c>
      <c r="AT21" s="135" t="str">
        <f t="shared" si="1"/>
        <v>40%</v>
      </c>
      <c r="AU21" s="134" t="s">
        <v>179</v>
      </c>
      <c r="AV21" s="134" t="s">
        <v>181</v>
      </c>
      <c r="AW21" s="134" t="s">
        <v>185</v>
      </c>
      <c r="AX21" s="136">
        <f>IFERROR(IF(AQ21="Probabilidad",(M21-(+M21*AT21)),IF(AQ21="Impacto",M21,"")),"")</f>
        <v>0.36</v>
      </c>
      <c r="AY21" s="137" t="str">
        <f t="shared" si="2"/>
        <v>Baja</v>
      </c>
      <c r="AZ21" s="135">
        <f t="shared" si="3"/>
        <v>0.36</v>
      </c>
      <c r="BA21" s="137" t="str">
        <f t="shared" ca="1" si="4"/>
        <v>Moderado</v>
      </c>
      <c r="BB21" s="135">
        <f ca="1">IFERROR(IF(AQ21="Impacto",(AJ21-(+AJ21*AT21)),IF(AQ21="Probabilidad",AJ21,"")),"")</f>
        <v>0.6</v>
      </c>
      <c r="BC21" s="138" t="str">
        <f t="shared" ca="1" si="5"/>
        <v>Moderado</v>
      </c>
      <c r="BD21" s="134" t="s">
        <v>196</v>
      </c>
      <c r="BE21" s="120" t="s">
        <v>443</v>
      </c>
      <c r="BF21" s="133" t="s">
        <v>444</v>
      </c>
      <c r="BG21" s="142">
        <v>45184</v>
      </c>
      <c r="BH21" s="142">
        <v>45214</v>
      </c>
      <c r="BI21" s="120"/>
      <c r="BJ21" s="127"/>
      <c r="BK21" s="18"/>
      <c r="BL21" s="18"/>
      <c r="BM21" s="18"/>
      <c r="BN21" s="18"/>
      <c r="BO21" s="18"/>
      <c r="BP21" s="18"/>
      <c r="BQ21" s="18"/>
      <c r="BR21" s="18"/>
      <c r="BS21" s="18"/>
      <c r="BT21" s="18"/>
      <c r="BU21" s="18"/>
      <c r="BV21" s="18"/>
      <c r="BW21" s="18"/>
      <c r="BX21" s="18"/>
      <c r="BY21" s="18"/>
      <c r="BZ21" s="18"/>
      <c r="CA21" s="18"/>
      <c r="CB21" s="18"/>
      <c r="CC21" s="18"/>
      <c r="CD21" s="18"/>
    </row>
    <row r="22" spans="1:82" ht="79.5" customHeight="1" x14ac:dyDescent="0.3">
      <c r="A22" s="200"/>
      <c r="B22" s="184"/>
      <c r="C22" s="186"/>
      <c r="D22" s="186"/>
      <c r="E22" s="186"/>
      <c r="F22" s="186"/>
      <c r="G22" s="186"/>
      <c r="H22" s="186"/>
      <c r="I22" s="186"/>
      <c r="J22" s="186"/>
      <c r="K22" s="186"/>
      <c r="L22" s="186"/>
      <c r="M22" s="186"/>
      <c r="N22" s="186"/>
      <c r="O22" s="186"/>
      <c r="P22" s="130"/>
      <c r="Q22" s="130"/>
      <c r="R22" s="130"/>
      <c r="S22" s="130"/>
      <c r="T22" s="130"/>
      <c r="U22" s="140"/>
      <c r="V22" s="140"/>
      <c r="W22" s="140"/>
      <c r="X22" s="140"/>
      <c r="Y22" s="140"/>
      <c r="Z22" s="140"/>
      <c r="AA22" s="140"/>
      <c r="AB22" s="140"/>
      <c r="AC22" s="140"/>
      <c r="AD22" s="130"/>
      <c r="AE22" s="130"/>
      <c r="AF22" s="130"/>
      <c r="AG22" s="130"/>
      <c r="AH22" s="130"/>
      <c r="AI22" s="186"/>
      <c r="AJ22" s="186"/>
      <c r="AK22" s="186"/>
      <c r="AL22" s="127">
        <v>2</v>
      </c>
      <c r="AM22" s="127"/>
      <c r="AN22" s="127" t="e">
        <f>VLOOKUP(AM22,'Opciones Tratamiento'!$M$2:$O$37,3,FALSE)</f>
        <v>#N/A</v>
      </c>
      <c r="AO22" s="132" t="e">
        <f>VLOOKUP(AM22,'Opciones Tratamiento'!$M$2:$O$37,2,FALSE)</f>
        <v>#N/A</v>
      </c>
      <c r="AP22" s="133" t="s">
        <v>442</v>
      </c>
      <c r="AQ22" s="127" t="str">
        <f t="shared" si="0"/>
        <v>Probabilidad</v>
      </c>
      <c r="AR22" s="134" t="s">
        <v>165</v>
      </c>
      <c r="AS22" s="134" t="s">
        <v>173</v>
      </c>
      <c r="AT22" s="135" t="str">
        <f t="shared" si="1"/>
        <v>40%</v>
      </c>
      <c r="AU22" s="134" t="s">
        <v>176</v>
      </c>
      <c r="AV22" s="134" t="s">
        <v>181</v>
      </c>
      <c r="AW22" s="134" t="s">
        <v>185</v>
      </c>
      <c r="AX22" s="136">
        <f>IFERROR(IF(AND(AQ21="Probabilidad",AQ22="Probabilidad"),(AZ21-(+AZ21*AT22)),IF(AQ22="Probabilidad",(M21-(+M21*AT22)),IF(AQ22="Impacto",AZ21,""))),"")</f>
        <v>0.216</v>
      </c>
      <c r="AY22" s="137" t="str">
        <f t="shared" si="2"/>
        <v>Baja</v>
      </c>
      <c r="AZ22" s="135">
        <f t="shared" si="3"/>
        <v>0.216</v>
      </c>
      <c r="BA22" s="137" t="str">
        <f t="shared" ca="1" si="4"/>
        <v>Moderado</v>
      </c>
      <c r="BB22" s="135">
        <f ca="1">IFERROR(IF(AND(AQ21="Impacto",AQ22="Impacto"),(BB19-(+BB19*AT22)),IF(AQ22="Impacto",($AJ$21-(+$AJ$21*AT22)),IF(AQ22="Probabilidad",BB19,""))),"")</f>
        <v>0.6</v>
      </c>
      <c r="BC22" s="138" t="str">
        <f t="shared" ca="1" si="5"/>
        <v>Moderado</v>
      </c>
      <c r="BD22" s="134" t="s">
        <v>190</v>
      </c>
      <c r="BE22" s="120"/>
      <c r="BF22" s="127"/>
      <c r="BG22" s="139"/>
      <c r="BH22" s="139"/>
      <c r="BI22" s="120"/>
      <c r="BJ22" s="127"/>
      <c r="BK22" s="18"/>
      <c r="BL22" s="18"/>
      <c r="BM22" s="18"/>
      <c r="BN22" s="18"/>
      <c r="BO22" s="18"/>
      <c r="BP22" s="18"/>
      <c r="BQ22" s="18"/>
      <c r="BR22" s="18"/>
      <c r="BS22" s="18"/>
      <c r="BT22" s="18"/>
      <c r="BU22" s="18"/>
      <c r="BV22" s="18"/>
      <c r="BW22" s="18"/>
      <c r="BX22" s="18"/>
      <c r="BY22" s="18"/>
      <c r="BZ22" s="18"/>
      <c r="CA22" s="18"/>
      <c r="CB22" s="18"/>
      <c r="CC22" s="18"/>
      <c r="CD22" s="18"/>
    </row>
    <row r="23" spans="1:82" ht="151.5" customHeight="1" x14ac:dyDescent="0.3">
      <c r="A23" s="120">
        <v>8</v>
      </c>
      <c r="B23" s="120" t="s">
        <v>438</v>
      </c>
      <c r="C23" s="120" t="s">
        <v>193</v>
      </c>
      <c r="D23" s="120" t="s">
        <v>217</v>
      </c>
      <c r="E23" s="120"/>
      <c r="F23" s="120" t="s">
        <v>445</v>
      </c>
      <c r="G23" s="120" t="s">
        <v>582</v>
      </c>
      <c r="H23" s="120" t="str">
        <f>_xlfn.CONCAT("Posibilidad de afectación ",IF(C23='Opciones Tratamiento'!$E$2,"económica",IF(C23='Opciones Tratamiento'!$E$4,"económica y reputacional",LOWER(C23)))," por ",LOWER(F23), ", debido a ",LOWER(G23))</f>
        <v>Posibilidad de afectación reputacional por generación de información estadística sin la confiabilidad, credibilidad y comparabilidad esperada, debido a debilidad en la  aplicación de los criterios de calidad estadística durante la fase de análisis para generar los productos estadísticos y dar respuesta a las solicitudes de información.</v>
      </c>
      <c r="I23" s="120" t="s">
        <v>201</v>
      </c>
      <c r="J23" s="127" t="s">
        <v>231</v>
      </c>
      <c r="K23" s="127" t="s">
        <v>247</v>
      </c>
      <c r="L23" s="129" t="str">
        <f>IF(OR(K23='Opciones Tratamiento'!$K$14,K23='Opciones Tratamiento'!$K$15,K23='Opciones Tratamiento'!$K$16),"Muy Baja",IF(OR(K23='Opciones Tratamiento'!$K$10,K23='Opciones Tratamiento'!$K$11,K23='Opciones Tratamiento'!$K$12,K23='Opciones Tratamiento'!$K$13),"Baja",IF(OR(K23='Opciones Tratamiento'!$K$4,K23='Opciones Tratamiento'!$K$5,K23='Opciones Tratamiento'!$K$6,K23='Opciones Tratamiento'!$K$7,K23='Opciones Tratamiento'!$K$8,K23='Opciones Tratamiento'!$K$9),"Media",IF(K23='Opciones Tratamiento'!$K$3,"Alta",IF(OR(K23='Opciones Tratamiento'!$K$2,K23='Opciones Tratamiento'!$K$17),"Muy Alta")))))</f>
        <v>Media</v>
      </c>
      <c r="M23" s="130">
        <f>IF(L23="","",IF(L23="Muy Baja",0.2,IF(L23="Baja",0.4,IF(L23="Media",0.6,IF(L23="Alta",0.8,IF(L23="Muy Alta",1,))))))</f>
        <v>0.6</v>
      </c>
      <c r="N23" s="130" t="s">
        <v>149</v>
      </c>
      <c r="O23" s="130" t="str">
        <f ca="1">IF(NOT(ISERROR(MATCH(N23,'Tabla Impacto'!$B$221:$B$223,0))),'Tabla Impacto'!$F$223&amp;"Por favor no seleccionar los criterios de impacto(Afectación Económica o presupuestal y Pérdida Reputacional)",N23)</f>
        <v xml:space="preserve">     El riesgo afecta la imagen de la entidad con algunos usuarios de relevancia frente al logro de los objetivos</v>
      </c>
      <c r="P23" s="130"/>
      <c r="Q23" s="130"/>
      <c r="R23" s="130"/>
      <c r="S23" s="130"/>
      <c r="T23" s="130"/>
      <c r="U23" s="140"/>
      <c r="V23" s="140"/>
      <c r="W23" s="140"/>
      <c r="X23" s="140"/>
      <c r="Y23" s="140"/>
      <c r="Z23" s="140"/>
      <c r="AA23" s="140"/>
      <c r="AB23" s="140"/>
      <c r="AC23" s="140"/>
      <c r="AD23" s="130"/>
      <c r="AE23" s="130"/>
      <c r="AF23" s="130"/>
      <c r="AG23" s="130"/>
      <c r="AH23" s="130"/>
      <c r="AI23" s="129" t="str">
        <f ca="1">IF(OR(D23='Opciones Tratamiento'!$H$2,D23='Opciones Tratamiento'!$H$4),IF(OR(O23='Tabla Impacto'!$C$11,O23='Tabla Impacto'!$D$11),"Leve",IF(OR(O23='Tabla Impacto'!$C$12,O23='Tabla Impacto'!$D$12),"Menor",IF(OR(O23='Tabla Impacto'!$C$13,O23='Tabla Impacto'!$D$13),"Moderado",IF(OR(O23='Tabla Impacto'!$C$14,O23='Tabla Impacto'!$D$14),"Mayor",IF(OR(O23='Tabla Impacto'!$C$15,O23='Tabla Impacto'!$D$15),"Catastrófico",""))))),IF(D23='Opciones Tratamiento'!$H$3,IF(COUNTIF('Mapa final'!P23:AH23,"Si")&lt;=5,"Moderado",IF(AND(COUNTIF('Mapa final'!P23:AH23,"Si")&gt;5,COUNTIF('Mapa final'!P23:AH23,"Si")&lt;=10),"Mayor",IF(COUNTIF('Mapa final'!P23:AH23,"Si")&gt;10,"Catastrófico","")))))</f>
        <v>Moderado</v>
      </c>
      <c r="AJ23" s="130">
        <f ca="1">IF(AI23="","",IF(AI23="Leve",0.2,IF(AI23="Menor",0.4,IF(AI23="Moderado",0.6,IF(AI23="Mayor",0.8,IF(AI23="Catastrófico",1,))))))</f>
        <v>0.6</v>
      </c>
      <c r="AK23" s="131" t="str">
        <f ca="1">IF(OR(AND(L23="Muy Baja",AI23="Leve"),AND(L23="Muy Baja",AI23="Menor"),AND(L23="Baja",AI23="Leve")),"Bajo",IF(OR(AND(L23="Muy baja",AI23="Moderado"),AND(L23="Baja",AI23="Menor"),AND(L23="Baja",AI23="Moderado"),AND(L23="Media",AI23="Leve"),AND(L23="Media",AI23="Menor"),AND(L23="Media",AI23="Moderado"),AND(L23="Alta",AI23="Leve"),AND(L23="Alta",AI23="Menor")),"Moderado",IF(OR(AND(L23="Muy Baja",AI23="Mayor"),AND(L23="Baja",AI23="Mayor"),AND(L23="Media",AI23="Mayor"),AND(L23="Alta",AI23="Moderado"),AND(L23="Alta",AI23="Mayor"),AND(L23="Muy Alta",AI23="Leve"),AND(L23="Muy Alta",AI23="Menor"),AND(L23="Muy Alta",AI23="Moderado"),AND(L23="Muy Alta",AI23="Mayor")),"Alto",IF(OR(AND(L23="Muy Baja",AI23="Catastrófico"),AND(L23="Baja",AI23="Catastrófico"),AND(L23="Media",AI23="Catastrófico"),AND(L23="Alta",AI23="Catastrófico"),AND(L23="Muy Alta",AI23="Catastrófico")),"Extremo",""))))</f>
        <v>Moderado</v>
      </c>
      <c r="AL23" s="127">
        <v>1</v>
      </c>
      <c r="AM23" s="127"/>
      <c r="AN23" s="127" t="e">
        <f>VLOOKUP(AM23,'Opciones Tratamiento'!$M$2:$O$37,3,FALSE)</f>
        <v>#N/A</v>
      </c>
      <c r="AO23" s="132" t="e">
        <f>VLOOKUP(AM23,'Opciones Tratamiento'!$M$2:$O$37,2,FALSE)</f>
        <v>#N/A</v>
      </c>
      <c r="AP23" s="132" t="s">
        <v>446</v>
      </c>
      <c r="AQ23" s="127" t="str">
        <f t="shared" si="0"/>
        <v>Probabilidad</v>
      </c>
      <c r="AR23" s="134" t="s">
        <v>165</v>
      </c>
      <c r="AS23" s="134" t="s">
        <v>173</v>
      </c>
      <c r="AT23" s="135" t="str">
        <f t="shared" si="1"/>
        <v>40%</v>
      </c>
      <c r="AU23" s="134" t="s">
        <v>176</v>
      </c>
      <c r="AV23" s="134" t="s">
        <v>181</v>
      </c>
      <c r="AW23" s="134" t="s">
        <v>185</v>
      </c>
      <c r="AX23" s="136">
        <f>IFERROR(IF(AQ23="Probabilidad",(M23-(+M23*AT23)),IF(AQ23="Impacto",M23,"")),"")</f>
        <v>0.36</v>
      </c>
      <c r="AY23" s="137" t="str">
        <f t="shared" si="2"/>
        <v>Baja</v>
      </c>
      <c r="AZ23" s="135">
        <f t="shared" si="3"/>
        <v>0.36</v>
      </c>
      <c r="BA23" s="137" t="str">
        <f t="shared" ca="1" si="4"/>
        <v>Moderado</v>
      </c>
      <c r="BB23" s="135">
        <f ca="1">IFERROR(IF(AQ23="Impacto",(AJ23-(+AJ23*AT23)),IF(AQ23="Probabilidad",AJ23,"")),"")</f>
        <v>0.6</v>
      </c>
      <c r="BC23" s="138" t="str">
        <f t="shared" ca="1" si="5"/>
        <v>Moderado</v>
      </c>
      <c r="BD23" s="134" t="s">
        <v>190</v>
      </c>
      <c r="BE23" s="120"/>
      <c r="BF23" s="127"/>
      <c r="BG23" s="139"/>
      <c r="BH23" s="139"/>
      <c r="BI23" s="120"/>
      <c r="BJ23" s="127"/>
      <c r="BK23" s="18"/>
      <c r="BL23" s="18"/>
      <c r="BM23" s="18"/>
      <c r="BN23" s="18"/>
      <c r="BO23" s="18"/>
      <c r="BP23" s="18"/>
      <c r="BQ23" s="18"/>
      <c r="BR23" s="18"/>
      <c r="BS23" s="18"/>
      <c r="BT23" s="18"/>
      <c r="BU23" s="18"/>
      <c r="BV23" s="18"/>
      <c r="BW23" s="18"/>
      <c r="BX23" s="18"/>
      <c r="BY23" s="18"/>
      <c r="BZ23" s="18"/>
      <c r="CA23" s="18"/>
      <c r="CB23" s="18"/>
      <c r="CC23" s="18"/>
      <c r="CD23" s="18"/>
    </row>
    <row r="24" spans="1:82" ht="109.5" customHeight="1" x14ac:dyDescent="0.3">
      <c r="A24" s="143">
        <v>9</v>
      </c>
      <c r="B24" s="120" t="s">
        <v>399</v>
      </c>
      <c r="C24" s="120" t="s">
        <v>193</v>
      </c>
      <c r="D24" s="120" t="s">
        <v>217</v>
      </c>
      <c r="E24" s="120"/>
      <c r="F24" s="128" t="s">
        <v>447</v>
      </c>
      <c r="G24" s="128" t="s">
        <v>448</v>
      </c>
      <c r="H24" s="120" t="str">
        <f>_xlfn.CONCAT("Posibilidad de afectación ",IF(C24='Opciones Tratamiento'!$E$2,"económica",IF(C24='Opciones Tratamiento'!$E$4,"económica y reputacional",LOWER(C24)))," por ",LOWER(F24), ", debido a ",LOWER(G24))</f>
        <v>Posibilidad de afectación reputacional por pérdida de oportunidad en tiempos de respuesta para atender las necesidades de comunicación de la entidad, debido a insuficiente personal para la ejecución de las actividades de comunicación</v>
      </c>
      <c r="I24" s="120" t="s">
        <v>201</v>
      </c>
      <c r="J24" s="127" t="s">
        <v>230</v>
      </c>
      <c r="K24" s="127" t="s">
        <v>241</v>
      </c>
      <c r="L24" s="129" t="str">
        <f>IF(OR(K24='Opciones Tratamiento'!$K$14,K24='Opciones Tratamiento'!$K$15,K24='Opciones Tratamiento'!$K$16),"Muy Baja",IF(OR(K24='Opciones Tratamiento'!$K$10,K24='Opciones Tratamiento'!$K$11,K24='Opciones Tratamiento'!$K$12,K24='Opciones Tratamiento'!$K$13),"Baja",IF(OR(K24='Opciones Tratamiento'!$K$4,K24='Opciones Tratamiento'!$K$5,K24='Opciones Tratamiento'!$K$6,K24='Opciones Tratamiento'!$K$7,K24='Opciones Tratamiento'!$K$8,K24='Opciones Tratamiento'!$K$9),"Media",IF(K24='Opciones Tratamiento'!$K$3,"Alta",IF(OR(K24='Opciones Tratamiento'!$K$2,K24='Opciones Tratamiento'!$K$17),"Muy Alta")))))</f>
        <v>Media</v>
      </c>
      <c r="M24" s="130">
        <f>IF(L24="","",IF(L24="Muy Baja",0.2,IF(L24="Baja",0.4,IF(L24="Media",0.6,IF(L24="Alta",0.8,IF(L24="Muy Alta",1,))))))</f>
        <v>0.6</v>
      </c>
      <c r="N24" s="130" t="s">
        <v>149</v>
      </c>
      <c r="O24" s="130" t="str">
        <f ca="1">IF(NOT(ISERROR(MATCH(N24,'Tabla Impacto'!$B$221:$B$223,0))),'Tabla Impacto'!$F$223&amp;"Por favor no seleccionar los criterios de impacto(Afectación Económica o presupuestal y Pérdida Reputacional)",N24)</f>
        <v xml:space="preserve">     El riesgo afecta la imagen de la entidad con algunos usuarios de relevancia frente al logro de los objetivos</v>
      </c>
      <c r="P24" s="130"/>
      <c r="Q24" s="130"/>
      <c r="R24" s="130"/>
      <c r="S24" s="130"/>
      <c r="T24" s="130"/>
      <c r="U24" s="140"/>
      <c r="V24" s="140"/>
      <c r="W24" s="140"/>
      <c r="X24" s="140"/>
      <c r="Y24" s="140"/>
      <c r="Z24" s="140"/>
      <c r="AA24" s="140"/>
      <c r="AB24" s="140"/>
      <c r="AC24" s="140"/>
      <c r="AD24" s="130"/>
      <c r="AE24" s="130"/>
      <c r="AF24" s="130"/>
      <c r="AG24" s="130"/>
      <c r="AH24" s="130"/>
      <c r="AI24" s="129" t="str">
        <f ca="1">IF(OR(D24='Opciones Tratamiento'!$H$2,D24='Opciones Tratamiento'!$H$4),IF(OR(O24='Tabla Impacto'!$C$11,O24='Tabla Impacto'!$D$11),"Leve",IF(OR(O24='Tabla Impacto'!$C$12,O24='Tabla Impacto'!$D$12),"Menor",IF(OR(O24='Tabla Impacto'!$C$13,O24='Tabla Impacto'!$D$13),"Moderado",IF(OR(O24='Tabla Impacto'!$C$14,O24='Tabla Impacto'!$D$14),"Mayor",IF(OR(O24='Tabla Impacto'!$C$15,O24='Tabla Impacto'!$D$15),"Catastrófico",""))))),IF(D24='Opciones Tratamiento'!$H$3,IF(COUNTIF('Mapa final'!P24:AH24,"Si")&lt;=5,"Moderado",IF(AND(COUNTIF('Mapa final'!P24:AH24,"Si")&gt;5,COUNTIF('Mapa final'!P24:AH24,"Si")&lt;=10),"Mayor",IF(COUNTIF('Mapa final'!P24:AH24,"Si")&gt;10,"Catastrófico","")))))</f>
        <v>Moderado</v>
      </c>
      <c r="AJ24" s="130">
        <f ca="1">IF(AI24="","",IF(AI24="Leve",0.2,IF(AI24="Menor",0.4,IF(AI24="Moderado",0.6,IF(AI24="Mayor",0.8,IF(AI24="Catastrófico",1,))))))</f>
        <v>0.6</v>
      </c>
      <c r="AK24" s="131" t="str">
        <f ca="1">IF(OR(AND(L24="Muy Baja",AI24="Leve"),AND(L24="Muy Baja",AI24="Menor"),AND(L24="Baja",AI24="Leve")),"Bajo",IF(OR(AND(L24="Muy baja",AI24="Moderado"),AND(L24="Baja",AI24="Menor"),AND(L24="Baja",AI24="Moderado"),AND(L24="Media",AI24="Leve"),AND(L24="Media",AI24="Menor"),AND(L24="Media",AI24="Moderado"),AND(L24="Alta",AI24="Leve"),AND(L24="Alta",AI24="Menor")),"Moderado",IF(OR(AND(L24="Muy Baja",AI24="Mayor"),AND(L24="Baja",AI24="Mayor"),AND(L24="Media",AI24="Mayor"),AND(L24="Alta",AI24="Moderado"),AND(L24="Alta",AI24="Mayor"),AND(L24="Muy Alta",AI24="Leve"),AND(L24="Muy Alta",AI24="Menor"),AND(L24="Muy Alta",AI24="Moderado"),AND(L24="Muy Alta",AI24="Mayor")),"Alto",IF(OR(AND(L24="Muy Baja",AI24="Catastrófico"),AND(L24="Baja",AI24="Catastrófico"),AND(L24="Media",AI24="Catastrófico"),AND(L24="Alta",AI24="Catastrófico"),AND(L24="Muy Alta",AI24="Catastrófico")),"Extremo",""))))</f>
        <v>Moderado</v>
      </c>
      <c r="AL24" s="127">
        <v>1</v>
      </c>
      <c r="AM24" s="127"/>
      <c r="AN24" s="127" t="e">
        <f>VLOOKUP(AM24,'Opciones Tratamiento'!$M$2:$O$37,3,FALSE)</f>
        <v>#N/A</v>
      </c>
      <c r="AO24" s="132" t="e">
        <f>VLOOKUP(AM24,'Opciones Tratamiento'!$M$2:$O$37,2,FALSE)</f>
        <v>#N/A</v>
      </c>
      <c r="AP24" s="133" t="s">
        <v>583</v>
      </c>
      <c r="AQ24" s="127" t="str">
        <f t="shared" si="0"/>
        <v>Probabilidad</v>
      </c>
      <c r="AR24" s="134" t="s">
        <v>165</v>
      </c>
      <c r="AS24" s="134" t="s">
        <v>173</v>
      </c>
      <c r="AT24" s="135" t="str">
        <f t="shared" si="1"/>
        <v>40%</v>
      </c>
      <c r="AU24" s="134" t="s">
        <v>179</v>
      </c>
      <c r="AV24" s="134" t="s">
        <v>183</v>
      </c>
      <c r="AW24" s="134" t="s">
        <v>185</v>
      </c>
      <c r="AX24" s="136">
        <f>IFERROR(IF(AQ24="Probabilidad",(M24-(+M24*AT24)),IF(AQ24="Impacto",M24,"")),"")</f>
        <v>0.36</v>
      </c>
      <c r="AY24" s="137" t="str">
        <f t="shared" si="2"/>
        <v>Baja</v>
      </c>
      <c r="AZ24" s="135">
        <f t="shared" si="3"/>
        <v>0.36</v>
      </c>
      <c r="BA24" s="137" t="str">
        <f t="shared" ca="1" si="4"/>
        <v>Moderado</v>
      </c>
      <c r="BB24" s="135">
        <f ca="1">IFERROR(IF(AQ24="Impacto",(AJ24-(+AJ24*AT24)),IF(AQ24="Probabilidad",AJ24,"")),"")</f>
        <v>0.6</v>
      </c>
      <c r="BC24" s="138" t="str">
        <f t="shared" ca="1" si="5"/>
        <v>Moderado</v>
      </c>
      <c r="BD24" s="134" t="s">
        <v>190</v>
      </c>
      <c r="BE24" s="120" t="s">
        <v>449</v>
      </c>
      <c r="BF24" s="120" t="s">
        <v>444</v>
      </c>
      <c r="BG24" s="139">
        <v>45260</v>
      </c>
      <c r="BH24" s="139">
        <v>45275</v>
      </c>
      <c r="BI24" s="120"/>
      <c r="BJ24" s="127"/>
      <c r="BK24" s="18"/>
      <c r="BL24" s="18"/>
      <c r="BM24" s="18"/>
      <c r="BN24" s="18"/>
      <c r="BO24" s="18"/>
      <c r="BP24" s="18"/>
      <c r="BQ24" s="18"/>
      <c r="BR24" s="18"/>
      <c r="BS24" s="18"/>
      <c r="BT24" s="18"/>
      <c r="BU24" s="18"/>
      <c r="BV24" s="18"/>
      <c r="BW24" s="18"/>
      <c r="BX24" s="18"/>
      <c r="BY24" s="18"/>
      <c r="BZ24" s="18"/>
      <c r="CA24" s="18"/>
      <c r="CB24" s="18"/>
      <c r="CC24" s="18"/>
      <c r="CD24" s="18"/>
    </row>
    <row r="25" spans="1:82" ht="139.5" customHeight="1" x14ac:dyDescent="0.3">
      <c r="A25" s="183">
        <v>10</v>
      </c>
      <c r="B25" s="183" t="s">
        <v>450</v>
      </c>
      <c r="C25" s="183" t="s">
        <v>193</v>
      </c>
      <c r="D25" s="183" t="s">
        <v>217</v>
      </c>
      <c r="E25" s="183"/>
      <c r="F25" s="189" t="s">
        <v>451</v>
      </c>
      <c r="G25" s="189" t="s">
        <v>452</v>
      </c>
      <c r="H25" s="183" t="str">
        <f>_xlfn.CONCAT("Posibilidad de afectación ",IF(C25='Opciones Tratamiento'!$E$2,"económica",IF(C25='Opciones Tratamiento'!$E$4,"económica y reputacional",LOWER(C25)))," por ",LOWER(F25), ", debido a ",LOWER(G25))</f>
        <v>Posibilidad de afectación reputacional por baja confiabilidad de los informes financieros y contables de las  ccf, debido a errores u omisión en la información financiera y contable suministrada por las ccf; emisión  reglamentación y fijación de directrices sobre temas financieros y contables sin la confiabilidad y razonabilidad requerida</v>
      </c>
      <c r="I25" s="183" t="s">
        <v>201</v>
      </c>
      <c r="J25" s="185" t="s">
        <v>231</v>
      </c>
      <c r="K25" s="185" t="s">
        <v>246</v>
      </c>
      <c r="L25" s="187" t="str">
        <f>IF(OR(K25='Opciones Tratamiento'!$K$14,K25='Opciones Tratamiento'!$K$15,K25='Opciones Tratamiento'!$K$16),"Muy Baja",IF(OR(K25='Opciones Tratamiento'!$K$10,K25='Opciones Tratamiento'!$K$11,K25='Opciones Tratamiento'!$K$12,K25='Opciones Tratamiento'!$K$13),"Baja",IF(OR(K25='Opciones Tratamiento'!$K$4,K25='Opciones Tratamiento'!$K$5,K25='Opciones Tratamiento'!$K$6,K25='Opciones Tratamiento'!$K$7,K25='Opciones Tratamiento'!$K$8,K25='Opciones Tratamiento'!$K$9),"Media",IF(K25='Opciones Tratamiento'!$K$3,"Alta",IF(OR(K25='Opciones Tratamiento'!$K$2,K25='Opciones Tratamiento'!$K$17),"Muy Alta")))))</f>
        <v>Media</v>
      </c>
      <c r="M25" s="188">
        <f>IF(L25="","",IF(L25="Muy Baja",0.2,IF(L25="Baja",0.4,IF(L25="Media",0.6,IF(L25="Alta",0.8,IF(L25="Muy Alta",1,))))))</f>
        <v>0.6</v>
      </c>
      <c r="N25" s="188" t="s">
        <v>149</v>
      </c>
      <c r="O25" s="188" t="str">
        <f ca="1">IF(NOT(ISERROR(MATCH(N25,'Tabla Impacto'!$B$221:$B$223,0))),'Tabla Impacto'!$F$223&amp;"Por favor no seleccionar los criterios de impacto(Afectación Económica o presupuestal y Pérdida Reputacional)",N25)</f>
        <v xml:space="preserve">     El riesgo afecta la imagen de la entidad con algunos usuarios de relevancia frente al logro de los objetivos</v>
      </c>
      <c r="P25" s="130"/>
      <c r="Q25" s="130"/>
      <c r="R25" s="130"/>
      <c r="S25" s="130"/>
      <c r="T25" s="130"/>
      <c r="U25" s="140"/>
      <c r="V25" s="140"/>
      <c r="W25" s="140"/>
      <c r="X25" s="140"/>
      <c r="Y25" s="140"/>
      <c r="Z25" s="140"/>
      <c r="AA25" s="140"/>
      <c r="AB25" s="140"/>
      <c r="AC25" s="140"/>
      <c r="AD25" s="130"/>
      <c r="AE25" s="130"/>
      <c r="AF25" s="130"/>
      <c r="AG25" s="130"/>
      <c r="AH25" s="130"/>
      <c r="AI25" s="187" t="str">
        <f ca="1">IF(OR(D25='Opciones Tratamiento'!$H$2,D25='Opciones Tratamiento'!$H$4),IF(OR(O25='Tabla Impacto'!$C$11,O25='Tabla Impacto'!$D$11),"Leve",IF(OR(O25='Tabla Impacto'!$C$12,O25='Tabla Impacto'!$D$12),"Menor",IF(OR(O25='Tabla Impacto'!$C$13,O25='Tabla Impacto'!$D$13),"Moderado",IF(OR(O25='Tabla Impacto'!$C$14,O25='Tabla Impacto'!$D$14),"Mayor",IF(OR(O25='Tabla Impacto'!$C$15,O25='Tabla Impacto'!$D$15),"Catastrófico",""))))),IF(D25='Opciones Tratamiento'!$H$3,IF(COUNTIF('Mapa final'!P25:AH25,"Si")&lt;=5,"Moderado",IF(AND(COUNTIF('Mapa final'!P25:AH25,"Si")&gt;5,COUNTIF('Mapa final'!P25:AH25,"Si")&lt;=10),"Mayor",IF(COUNTIF('Mapa final'!P25:AH25,"Si")&gt;10,"Catastrófico","")))))</f>
        <v>Moderado</v>
      </c>
      <c r="AJ25" s="188">
        <f ca="1">IF(AI25="","",IF(AI25="Leve",0.2,IF(AI25="Menor",0.4,IF(AI25="Moderado",0.6,IF(AI25="Mayor",0.8,IF(AI25="Catastrófico",1,))))))</f>
        <v>0.6</v>
      </c>
      <c r="AK25" s="190" t="str">
        <f ca="1">IF(OR(AND(L25="Muy Baja",AI25="Leve"),AND(L25="Muy Baja",AI25="Menor"),AND(L25="Baja",AI25="Leve")),"Bajo",IF(OR(AND(L25="Muy baja",AI25="Moderado"),AND(L25="Baja",AI25="Menor"),AND(L25="Baja",AI25="Moderado"),AND(L25="Media",AI25="Leve"),AND(L25="Media",AI25="Menor"),AND(L25="Media",AI25="Moderado"),AND(L25="Alta",AI25="Leve"),AND(L25="Alta",AI25="Menor")),"Moderado",IF(OR(AND(L25="Muy Baja",AI25="Mayor"),AND(L25="Baja",AI25="Mayor"),AND(L25="Media",AI25="Mayor"),AND(L25="Alta",AI25="Moderado"),AND(L25="Alta",AI25="Mayor"),AND(L25="Muy Alta",AI25="Leve"),AND(L25="Muy Alta",AI25="Menor"),AND(L25="Muy Alta",AI25="Moderado"),AND(L25="Muy Alta",AI25="Mayor")),"Alto",IF(OR(AND(L25="Muy Baja",AI25="Catastrófico"),AND(L25="Baja",AI25="Catastrófico"),AND(L25="Media",AI25="Catastrófico"),AND(L25="Alta",AI25="Catastrófico"),AND(L25="Muy Alta",AI25="Catastrófico")),"Extremo",""))))</f>
        <v>Moderado</v>
      </c>
      <c r="AL25" s="127">
        <v>1</v>
      </c>
      <c r="AM25" s="127"/>
      <c r="AN25" s="127" t="e">
        <f>VLOOKUP(AM25,'Opciones Tratamiento'!$M$2:$O$37,3,FALSE)</f>
        <v>#N/A</v>
      </c>
      <c r="AO25" s="132" t="e">
        <f>VLOOKUP(AM25,'Opciones Tratamiento'!$M$2:$O$37,2,FALSE)</f>
        <v>#N/A</v>
      </c>
      <c r="AP25" s="133" t="s">
        <v>453</v>
      </c>
      <c r="AQ25" s="127" t="str">
        <f t="shared" si="0"/>
        <v>Probabilidad</v>
      </c>
      <c r="AR25" s="134" t="s">
        <v>165</v>
      </c>
      <c r="AS25" s="134" t="s">
        <v>173</v>
      </c>
      <c r="AT25" s="135" t="str">
        <f t="shared" si="1"/>
        <v>40%</v>
      </c>
      <c r="AU25" s="134" t="s">
        <v>176</v>
      </c>
      <c r="AV25" s="134" t="s">
        <v>181</v>
      </c>
      <c r="AW25" s="134" t="s">
        <v>185</v>
      </c>
      <c r="AX25" s="136">
        <f>IFERROR(IF(AQ25="Probabilidad",(M25-(+M25*AT25)),IF(AQ25="Impacto",M25,"")),"")</f>
        <v>0.36</v>
      </c>
      <c r="AY25" s="137" t="str">
        <f t="shared" si="2"/>
        <v>Baja</v>
      </c>
      <c r="AZ25" s="135">
        <f t="shared" si="3"/>
        <v>0.36</v>
      </c>
      <c r="BA25" s="137" t="str">
        <f t="shared" ca="1" si="4"/>
        <v>Moderado</v>
      </c>
      <c r="BB25" s="135">
        <f ca="1">IFERROR(IF(AQ25="Impacto",(AJ25-(+AJ25*AT25)),IF(AQ25="Probabilidad",AJ25,"")),"")</f>
        <v>0.6</v>
      </c>
      <c r="BC25" s="138" t="str">
        <f t="shared" ca="1" si="5"/>
        <v>Moderado</v>
      </c>
      <c r="BD25" s="134" t="s">
        <v>196</v>
      </c>
      <c r="BE25" s="120"/>
      <c r="BF25" s="127"/>
      <c r="BG25" s="139"/>
      <c r="BH25" s="139"/>
      <c r="BI25" s="120"/>
      <c r="BJ25" s="127"/>
      <c r="BK25" s="18"/>
      <c r="BL25" s="18"/>
      <c r="BM25" s="18"/>
      <c r="BN25" s="18"/>
      <c r="BO25" s="18"/>
      <c r="BP25" s="18"/>
      <c r="BQ25" s="18"/>
      <c r="BR25" s="18"/>
      <c r="BS25" s="18"/>
      <c r="BT25" s="18"/>
      <c r="BU25" s="18"/>
      <c r="BV25" s="18"/>
      <c r="BW25" s="18"/>
      <c r="BX25" s="18"/>
      <c r="BY25" s="18"/>
      <c r="BZ25" s="18"/>
      <c r="CA25" s="18"/>
      <c r="CB25" s="18"/>
      <c r="CC25" s="18"/>
      <c r="CD25" s="18"/>
    </row>
    <row r="26" spans="1:82" ht="139.5" customHeight="1" x14ac:dyDescent="0.3">
      <c r="A26" s="184"/>
      <c r="B26" s="184"/>
      <c r="C26" s="186"/>
      <c r="D26" s="186"/>
      <c r="E26" s="186"/>
      <c r="F26" s="189"/>
      <c r="G26" s="189"/>
      <c r="H26" s="186"/>
      <c r="I26" s="186"/>
      <c r="J26" s="186"/>
      <c r="K26" s="186"/>
      <c r="L26" s="186"/>
      <c r="M26" s="186"/>
      <c r="N26" s="186"/>
      <c r="O26" s="186"/>
      <c r="P26" s="130"/>
      <c r="Q26" s="130"/>
      <c r="R26" s="130"/>
      <c r="S26" s="130"/>
      <c r="T26" s="130"/>
      <c r="U26" s="140"/>
      <c r="V26" s="140"/>
      <c r="W26" s="140"/>
      <c r="X26" s="140"/>
      <c r="Y26" s="140"/>
      <c r="Z26" s="140"/>
      <c r="AA26" s="140"/>
      <c r="AB26" s="140"/>
      <c r="AC26" s="140"/>
      <c r="AD26" s="130"/>
      <c r="AE26" s="130"/>
      <c r="AF26" s="130"/>
      <c r="AG26" s="130"/>
      <c r="AH26" s="130"/>
      <c r="AI26" s="186"/>
      <c r="AJ26" s="186"/>
      <c r="AK26" s="186"/>
      <c r="AL26" s="127">
        <v>2</v>
      </c>
      <c r="AM26" s="127"/>
      <c r="AN26" s="127" t="e">
        <f>VLOOKUP(AM26,'Opciones Tratamiento'!$M$2:$O$37,3,FALSE)</f>
        <v>#N/A</v>
      </c>
      <c r="AO26" s="132" t="e">
        <f>VLOOKUP(AM26,'Opciones Tratamiento'!$M$2:$O$37,2,FALSE)</f>
        <v>#N/A</v>
      </c>
      <c r="AP26" s="133" t="s">
        <v>454</v>
      </c>
      <c r="AQ26" s="127" t="str">
        <f t="shared" si="0"/>
        <v>Probabilidad</v>
      </c>
      <c r="AR26" s="134" t="s">
        <v>165</v>
      </c>
      <c r="AS26" s="134" t="s">
        <v>173</v>
      </c>
      <c r="AT26" s="135" t="str">
        <f t="shared" si="1"/>
        <v>40%</v>
      </c>
      <c r="AU26" s="134" t="s">
        <v>176</v>
      </c>
      <c r="AV26" s="134" t="s">
        <v>181</v>
      </c>
      <c r="AW26" s="134" t="s">
        <v>185</v>
      </c>
      <c r="AX26" s="136">
        <f>IFERROR(IF(AND(AQ25="Probabilidad",AQ26="Probabilidad"),(AZ25-(+AZ25*AT26)),IF(AQ26="Probabilidad",(M25-(+M25*AT26)),IF(AQ26="Impacto",AZ25,""))),"")</f>
        <v>0.216</v>
      </c>
      <c r="AY26" s="137" t="str">
        <f t="shared" si="2"/>
        <v>Baja</v>
      </c>
      <c r="AZ26" s="135">
        <f t="shared" si="3"/>
        <v>0.216</v>
      </c>
      <c r="BA26" s="137" t="str">
        <f t="shared" ca="1" si="4"/>
        <v>Moderado</v>
      </c>
      <c r="BB26" s="135">
        <f ca="1">IFERROR(IF(AND(AQ25="Impacto",AQ26="Impacto"),(BB24-(+BB24*AT26)),IF(AQ26="Impacto",($AJ$25-(+$AJ$25*AT26)),IF(AQ26="Probabilidad",BB24,""))),"")</f>
        <v>0.6</v>
      </c>
      <c r="BC26" s="138" t="str">
        <f t="shared" ca="1" si="5"/>
        <v>Moderado</v>
      </c>
      <c r="BD26" s="134" t="s">
        <v>190</v>
      </c>
      <c r="BE26" s="120"/>
      <c r="BF26" s="127"/>
      <c r="BG26" s="139"/>
      <c r="BH26" s="139"/>
      <c r="BI26" s="120"/>
      <c r="BJ26" s="127"/>
      <c r="BK26" s="24"/>
      <c r="BL26" s="24"/>
      <c r="BM26" s="24"/>
      <c r="BN26" s="24"/>
      <c r="BO26" s="24"/>
      <c r="BP26" s="24"/>
      <c r="BQ26" s="24"/>
      <c r="BR26" s="24"/>
      <c r="BS26" s="24"/>
      <c r="BT26" s="24"/>
      <c r="BU26" s="24"/>
      <c r="BV26" s="24"/>
      <c r="BW26" s="24"/>
      <c r="BX26" s="24"/>
      <c r="BY26" s="24"/>
      <c r="BZ26" s="24"/>
      <c r="CA26" s="24"/>
      <c r="CB26" s="24"/>
      <c r="CC26" s="24"/>
      <c r="CD26" s="24"/>
    </row>
    <row r="27" spans="1:82" ht="123.6" customHeight="1" x14ac:dyDescent="0.3">
      <c r="A27" s="183">
        <v>11</v>
      </c>
      <c r="B27" s="183" t="s">
        <v>450</v>
      </c>
      <c r="C27" s="183" t="s">
        <v>193</v>
      </c>
      <c r="D27" s="183" t="s">
        <v>217</v>
      </c>
      <c r="E27" s="183"/>
      <c r="F27" s="183" t="s">
        <v>455</v>
      </c>
      <c r="G27" s="183" t="s">
        <v>456</v>
      </c>
      <c r="H27" s="183" t="str">
        <f>_xlfn.CONCAT("Posibilidad de afectación ",IF(C27='Opciones Tratamiento'!$E$2,"económica",IF(C27='Opciones Tratamiento'!$E$4,"económica y reputacional",LOWER(C27)))," por ",LOWER(F27), ", debido a ",LOWER(G27))</f>
        <v xml:space="preserve">Posibilidad de afectación reputacional por emisión de informes de análisis a la situación financiera sin la capacidad técnica y oportuna  que permitan generar seguimiento adecuado a la situación financiera y contable de las ccf, debido a baja confiabilidad de la información financiera y contable suministrada por las ccf,  las estructuras de la herramienta de información siger, genere información errada, debilidades en la conceptualización técnica de los funcionarios del área, demora en las revisiones y vistos buenos por parte de los directores y delegado, exceso de carga laboral
</v>
      </c>
      <c r="I27" s="183" t="s">
        <v>201</v>
      </c>
      <c r="J27" s="185" t="s">
        <v>231</v>
      </c>
      <c r="K27" s="185" t="s">
        <v>246</v>
      </c>
      <c r="L27" s="187" t="str">
        <f>IF(OR(K27='Opciones Tratamiento'!$K$14,K27='Opciones Tratamiento'!$K$15,K27='Opciones Tratamiento'!$K$16),"Muy Baja",IF(OR(K27='Opciones Tratamiento'!$K$10,K27='Opciones Tratamiento'!$K$11,K27='Opciones Tratamiento'!$K$12,K27='Opciones Tratamiento'!$K$13),"Baja",IF(OR(K27='Opciones Tratamiento'!$K$4,K27='Opciones Tratamiento'!$K$5,K27='Opciones Tratamiento'!$K$6,K27='Opciones Tratamiento'!$K$7,K27='Opciones Tratamiento'!$K$8,K27='Opciones Tratamiento'!$K$9),"Media",IF(K27='Opciones Tratamiento'!$K$3,"Alta",IF(OR(K27='Opciones Tratamiento'!$K$2,K27='Opciones Tratamiento'!$K$17),"Muy Alta")))))</f>
        <v>Media</v>
      </c>
      <c r="M27" s="188">
        <f>IF(L27="","",IF(L27="Muy Baja",0.2,IF(L27="Baja",0.4,IF(L27="Media",0.6,IF(L27="Alta",0.8,IF(L27="Muy Alta",1,))))))</f>
        <v>0.6</v>
      </c>
      <c r="N27" s="188" t="s">
        <v>149</v>
      </c>
      <c r="O27" s="188" t="str">
        <f ca="1">IF(NOT(ISERROR(MATCH(N27,'Tabla Impacto'!$B$221:$B$223,0))),'Tabla Impacto'!$F$223&amp;"Por favor no seleccionar los criterios de impacto(Afectación Económica o presupuestal y Pérdida Reputacional)",N27)</f>
        <v xml:space="preserve">     El riesgo afecta la imagen de la entidad con algunos usuarios de relevancia frente al logro de los objetivos</v>
      </c>
      <c r="P27" s="130"/>
      <c r="Q27" s="130"/>
      <c r="R27" s="130"/>
      <c r="S27" s="130"/>
      <c r="T27" s="130"/>
      <c r="U27" s="140"/>
      <c r="V27" s="140"/>
      <c r="W27" s="140"/>
      <c r="X27" s="140"/>
      <c r="Y27" s="140"/>
      <c r="Z27" s="140"/>
      <c r="AA27" s="140"/>
      <c r="AB27" s="140"/>
      <c r="AC27" s="140"/>
      <c r="AD27" s="130"/>
      <c r="AE27" s="130"/>
      <c r="AF27" s="130"/>
      <c r="AG27" s="130"/>
      <c r="AH27" s="130"/>
      <c r="AI27" s="187" t="str">
        <f ca="1">IF(OR(D27='Opciones Tratamiento'!$H$2,D27='Opciones Tratamiento'!$H$4),IF(OR(O27='Tabla Impacto'!$C$11,O27='Tabla Impacto'!$D$11),"Leve",IF(OR(O27='Tabla Impacto'!$C$12,O27='Tabla Impacto'!$D$12),"Menor",IF(OR(O27='Tabla Impacto'!$C$13,O27='Tabla Impacto'!$D$13),"Moderado",IF(OR(O27='Tabla Impacto'!$C$14,O27='Tabla Impacto'!$D$14),"Mayor",IF(OR(O27='Tabla Impacto'!$C$15,O27='Tabla Impacto'!$D$15),"Catastrófico",""))))),IF(D27='Opciones Tratamiento'!$H$3,IF(COUNTIF('Mapa final'!P27:AH27,"Si")&lt;=5,"Moderado",IF(AND(COUNTIF('Mapa final'!P27:AH27,"Si")&gt;5,COUNTIF('Mapa final'!P27:AH27,"Si")&lt;=10),"Mayor",IF(COUNTIF('Mapa final'!P27:AH27,"Si")&gt;10,"Catastrófico","")))))</f>
        <v>Moderado</v>
      </c>
      <c r="AJ27" s="188">
        <f ca="1">IF(AI27="","",IF(AI27="Leve",0.2,IF(AI27="Menor",0.4,IF(AI27="Moderado",0.6,IF(AI27="Mayor",0.8,IF(AI27="Catastrófico",1,))))))</f>
        <v>0.6</v>
      </c>
      <c r="AK27" s="190" t="str">
        <f ca="1">IF(OR(AND(L27="Muy Baja",AI27="Leve"),AND(L27="Muy Baja",AI27="Menor"),AND(L27="Baja",AI27="Leve")),"Bajo",IF(OR(AND(L27="Muy baja",AI27="Moderado"),AND(L27="Baja",AI27="Menor"),AND(L27="Baja",AI27="Moderado"),AND(L27="Media",AI27="Leve"),AND(L27="Media",AI27="Menor"),AND(L27="Media",AI27="Moderado"),AND(L27="Alta",AI27="Leve"),AND(L27="Alta",AI27="Menor")),"Moderado",IF(OR(AND(L27="Muy Baja",AI27="Mayor"),AND(L27="Baja",AI27="Mayor"),AND(L27="Media",AI27="Mayor"),AND(L27="Alta",AI27="Moderado"),AND(L27="Alta",AI27="Mayor"),AND(L27="Muy Alta",AI27="Leve"),AND(L27="Muy Alta",AI27="Menor"),AND(L27="Muy Alta",AI27="Moderado"),AND(L27="Muy Alta",AI27="Mayor")),"Alto",IF(OR(AND(L27="Muy Baja",AI27="Catastrófico"),AND(L27="Baja",AI27="Catastrófico"),AND(L27="Media",AI27="Catastrófico"),AND(L27="Alta",AI27="Catastrófico"),AND(L27="Muy Alta",AI27="Catastrófico")),"Extremo",""))))</f>
        <v>Moderado</v>
      </c>
      <c r="AL27" s="127">
        <v>1</v>
      </c>
      <c r="AM27" s="127"/>
      <c r="AN27" s="127" t="e">
        <f>VLOOKUP(AM27,'Opciones Tratamiento'!$M$2:$O$37,3,FALSE)</f>
        <v>#N/A</v>
      </c>
      <c r="AO27" s="132" t="e">
        <f>VLOOKUP(AM27,'Opciones Tratamiento'!$M$2:$O$37,2,FALSE)</f>
        <v>#N/A</v>
      </c>
      <c r="AP27" s="133" t="s">
        <v>453</v>
      </c>
      <c r="AQ27" s="127" t="str">
        <f t="shared" ref="AQ27:AQ28" si="8">IF(OR(AR27="Preventivo",AR27="Detectivo"),"Probabilidad",IF(AR27="Correctivo","Impacto",""))</f>
        <v>Probabilidad</v>
      </c>
      <c r="AR27" s="134" t="s">
        <v>165</v>
      </c>
      <c r="AS27" s="134" t="s">
        <v>173</v>
      </c>
      <c r="AT27" s="135" t="str">
        <f t="shared" ref="AT27:AT28" si="9">IF(AND(AR27="Preventivo",AS27="Automático"),"50%",IF(AND(AR27="Preventivo",AS27="Manual"),"40%",IF(AND(AR27="Detectivo",AS27="Automático"),"40%",IF(AND(AR27="Detectivo",AS27="Manual"),"30%",IF(AND(AR27="Correctivo",AS27="Automático"),"35%",IF(AND(AR27="Correctivo",AS27="Manual"),"25%",""))))))</f>
        <v>40%</v>
      </c>
      <c r="AU27" s="134" t="s">
        <v>176</v>
      </c>
      <c r="AV27" s="134" t="s">
        <v>181</v>
      </c>
      <c r="AW27" s="134" t="s">
        <v>185</v>
      </c>
      <c r="AX27" s="136">
        <f>IFERROR(IF(AQ27="Probabilidad",(M27-(+M27*AT27)),IF(AQ27="Impacto",M27,"")),"")</f>
        <v>0.36</v>
      </c>
      <c r="AY27" s="137" t="str">
        <f t="shared" ref="AY27:AY28" si="10">IFERROR(IF(AX27="","",IF(AX27&lt;=0.2,"Muy Baja",IF(AX27&lt;=0.4,"Baja",IF(AX27&lt;=0.6,"Media",IF(AX27&lt;=0.8,"Alta","Muy Alta"))))),"")</f>
        <v>Baja</v>
      </c>
      <c r="AZ27" s="135">
        <f t="shared" ref="AZ27:AZ28" si="11">+AX27</f>
        <v>0.36</v>
      </c>
      <c r="BA27" s="137" t="str">
        <f t="shared" ref="BA27:BA28" ca="1" si="12">IFERROR(IF(BB27="","",IF(BB27&lt;=0.2,"Leve",IF(BB27&lt;=0.4,"Menor",IF(BB27&lt;=0.6,"Moderado",IF(BB27&lt;=0.8,"Mayor","Catastrófico"))))),"")</f>
        <v>Moderado</v>
      </c>
      <c r="BB27" s="135">
        <f ca="1">IFERROR(IF(AQ27="Impacto",(AJ27-(+AJ27*AT27)),IF(AQ27="Probabilidad",AJ27,"")),"")</f>
        <v>0.6</v>
      </c>
      <c r="BC27" s="138" t="str">
        <f t="shared" ref="BC27:BC28" ca="1" si="13">IFERROR(IF(OR(AND(AY27="Muy Baja",BA27="Leve"),AND(AY27="Muy Baja",BA27="Menor"),AND(AY27="Baja",BA27="Leve")),"Bajo",IF(OR(AND(AY27="Muy baja",BA27="Moderado"),AND(AY27="Baja",BA27="Menor"),AND(AY27="Baja",BA27="Moderado"),AND(AY27="Media",BA27="Leve"),AND(AY27="Media",BA27="Menor"),AND(AY27="Media",BA27="Moderado"),AND(AY27="Alta",BA27="Leve"),AND(AY27="Alta",BA27="Menor")),"Moderado",IF(OR(AND(AY27="Muy Baja",BA27="Mayor"),AND(AY27="Baja",BA27="Mayor"),AND(AY27="Media",BA27="Mayor"),AND(AY27="Alta",BA27="Moderado"),AND(AY27="Alta",BA27="Mayor"),AND(AY27="Muy Alta",BA27="Leve"),AND(AY27="Muy Alta",BA27="Menor"),AND(AY27="Muy Alta",BA27="Moderado"),AND(AY27="Muy Alta",BA27="Mayor")),"Alto",IF(OR(AND(AY27="Muy Baja",BA27="Catastrófico"),AND(AY27="Baja",BA27="Catastrófico"),AND(AY27="Media",BA27="Catastrófico"),AND(AY27="Alta",BA27="Catastrófico"),AND(AY27="Muy Alta",BA27="Catastrófico")),"Extremo","")))),"")</f>
        <v>Moderado</v>
      </c>
      <c r="BD27" s="134" t="s">
        <v>196</v>
      </c>
      <c r="BE27" s="120"/>
      <c r="BF27" s="127"/>
      <c r="BG27" s="139"/>
      <c r="BH27" s="139"/>
      <c r="BI27" s="120"/>
      <c r="BJ27" s="127"/>
      <c r="BK27" s="18"/>
      <c r="BL27" s="18"/>
      <c r="BM27" s="18"/>
      <c r="BN27" s="18"/>
      <c r="BO27" s="18"/>
      <c r="BP27" s="18"/>
      <c r="BQ27" s="18"/>
      <c r="BR27" s="18"/>
      <c r="BS27" s="18"/>
      <c r="BT27" s="18"/>
      <c r="BU27" s="18"/>
      <c r="BV27" s="18"/>
      <c r="BW27" s="18"/>
      <c r="BX27" s="18"/>
      <c r="BY27" s="18"/>
      <c r="BZ27" s="18"/>
      <c r="CA27" s="18"/>
      <c r="CB27" s="18"/>
      <c r="CC27" s="18"/>
      <c r="CD27" s="18"/>
    </row>
    <row r="28" spans="1:82" ht="123.6" customHeight="1" x14ac:dyDescent="0.3">
      <c r="A28" s="184"/>
      <c r="B28" s="184"/>
      <c r="C28" s="186"/>
      <c r="D28" s="186"/>
      <c r="E28" s="186"/>
      <c r="F28" s="186"/>
      <c r="G28" s="186"/>
      <c r="H28" s="186"/>
      <c r="I28" s="186"/>
      <c r="J28" s="186"/>
      <c r="K28" s="186"/>
      <c r="L28" s="186"/>
      <c r="M28" s="186"/>
      <c r="N28" s="186"/>
      <c r="O28" s="186"/>
      <c r="P28" s="130"/>
      <c r="Q28" s="130"/>
      <c r="R28" s="130"/>
      <c r="S28" s="130"/>
      <c r="T28" s="130"/>
      <c r="U28" s="140"/>
      <c r="V28" s="140"/>
      <c r="W28" s="140"/>
      <c r="X28" s="140"/>
      <c r="Y28" s="140"/>
      <c r="Z28" s="140"/>
      <c r="AA28" s="140"/>
      <c r="AB28" s="140"/>
      <c r="AC28" s="140"/>
      <c r="AD28" s="130"/>
      <c r="AE28" s="130"/>
      <c r="AF28" s="130"/>
      <c r="AG28" s="130"/>
      <c r="AH28" s="130"/>
      <c r="AI28" s="186"/>
      <c r="AJ28" s="186"/>
      <c r="AK28" s="186"/>
      <c r="AL28" s="127">
        <v>2</v>
      </c>
      <c r="AM28" s="127"/>
      <c r="AN28" s="127" t="e">
        <f>VLOOKUP(AM28,'Opciones Tratamiento'!$M$2:$O$37,3,FALSE)</f>
        <v>#N/A</v>
      </c>
      <c r="AO28" s="132" t="e">
        <f>VLOOKUP(AM28,'Opciones Tratamiento'!$M$2:$O$37,2,FALSE)</f>
        <v>#N/A</v>
      </c>
      <c r="AP28" s="133" t="s">
        <v>454</v>
      </c>
      <c r="AQ28" s="127" t="str">
        <f t="shared" si="8"/>
        <v>Probabilidad</v>
      </c>
      <c r="AR28" s="134" t="s">
        <v>165</v>
      </c>
      <c r="AS28" s="134" t="s">
        <v>173</v>
      </c>
      <c r="AT28" s="135" t="str">
        <f t="shared" si="9"/>
        <v>40%</v>
      </c>
      <c r="AU28" s="134" t="s">
        <v>176</v>
      </c>
      <c r="AV28" s="134" t="s">
        <v>181</v>
      </c>
      <c r="AW28" s="134" t="s">
        <v>185</v>
      </c>
      <c r="AX28" s="136">
        <f>IFERROR(IF(AND(AQ27="Probabilidad",AQ28="Probabilidad"),(AZ27-(+AZ27*AT28)),IF(AQ28="Probabilidad",(M27-(+M27*AT28)),IF(AQ28="Impacto",AZ27,""))),"")</f>
        <v>0.216</v>
      </c>
      <c r="AY28" s="137" t="str">
        <f t="shared" si="10"/>
        <v>Baja</v>
      </c>
      <c r="AZ28" s="135">
        <f t="shared" si="11"/>
        <v>0.216</v>
      </c>
      <c r="BA28" s="137" t="str">
        <f t="shared" ca="1" si="12"/>
        <v>Moderado</v>
      </c>
      <c r="BB28" s="135">
        <f ca="1">IFERROR(IF(AND(AQ27="Impacto",AQ28="Impacto"),(BB25-(+BB25*AT28)),IF(AQ28="Impacto",($AJ$25-(+$AJ$25*AT28)),IF(AQ28="Probabilidad",BB25,""))),"")</f>
        <v>0.6</v>
      </c>
      <c r="BC28" s="138" t="str">
        <f t="shared" ca="1" si="13"/>
        <v>Moderado</v>
      </c>
      <c r="BD28" s="134" t="s">
        <v>190</v>
      </c>
      <c r="BE28" s="120"/>
      <c r="BF28" s="127"/>
      <c r="BG28" s="139"/>
      <c r="BH28" s="139"/>
      <c r="BI28" s="120"/>
      <c r="BJ28" s="127"/>
      <c r="BK28" s="24"/>
      <c r="BL28" s="24"/>
      <c r="BM28" s="24"/>
      <c r="BN28" s="24"/>
      <c r="BO28" s="24"/>
      <c r="BP28" s="24"/>
      <c r="BQ28" s="24"/>
      <c r="BR28" s="24"/>
      <c r="BS28" s="24"/>
      <c r="BT28" s="24"/>
      <c r="BU28" s="24"/>
      <c r="BV28" s="24"/>
      <c r="BW28" s="24"/>
      <c r="BX28" s="24"/>
      <c r="BY28" s="24"/>
      <c r="BZ28" s="24"/>
      <c r="CA28" s="24"/>
      <c r="CB28" s="24"/>
      <c r="CC28" s="24"/>
      <c r="CD28" s="24"/>
    </row>
    <row r="29" spans="1:82" ht="147.6" customHeight="1" x14ac:dyDescent="0.3">
      <c r="A29" s="121">
        <v>12</v>
      </c>
      <c r="B29" s="120" t="s">
        <v>457</v>
      </c>
      <c r="C29" s="120" t="s">
        <v>191</v>
      </c>
      <c r="D29" s="120" t="s">
        <v>217</v>
      </c>
      <c r="E29" s="120"/>
      <c r="F29" s="128" t="s">
        <v>458</v>
      </c>
      <c r="G29" s="128" t="s">
        <v>584</v>
      </c>
      <c r="H29" s="120" t="str">
        <f>_xlfn.CONCAT("Posibilidad de afectación ",IF(C29='Opciones Tratamiento'!$E$2,"económica",IF(C29='Opciones Tratamiento'!$E$4,"económica y reputacional",LOWER(C29)))," por ",LOWER(F29), ", debido a ",LOWER(G29))</f>
        <v>Posibilidad de afectación económica por perdida de oportunidad en la emisión de informes de análisis a la gestión, debido a demora en las revisiones y vistos buenos por parte del director(a)
demoras asociadas a la realización del informe, las correcciones y validaciones de la información.
debilidades en el seguimiento al cumplimiento de fechas</v>
      </c>
      <c r="I29" s="120" t="s">
        <v>201</v>
      </c>
      <c r="J29" s="127" t="s">
        <v>231</v>
      </c>
      <c r="K29" s="127" t="s">
        <v>251</v>
      </c>
      <c r="L29" s="129" t="str">
        <f>IF(OR(K29='Opciones Tratamiento'!$K$14,K29='Opciones Tratamiento'!$K$15,K29='Opciones Tratamiento'!$K$16),"Muy Baja",IF(OR(K29='Opciones Tratamiento'!$K$10,K29='Opciones Tratamiento'!$K$11,K29='Opciones Tratamiento'!$K$12,K29='Opciones Tratamiento'!$K$13),"Baja",IF(OR(K29='Opciones Tratamiento'!$K$4,K29='Opciones Tratamiento'!$K$5,K29='Opciones Tratamiento'!$K$6,K29='Opciones Tratamiento'!$K$7,K29='Opciones Tratamiento'!$K$8,K29='Opciones Tratamiento'!$K$9),"Media",IF(K29='Opciones Tratamiento'!$K$3,"Alta",IF(OR(K29='Opciones Tratamiento'!$K$2,K29='Opciones Tratamiento'!$K$17),"Muy Alta")))))</f>
        <v>Baja</v>
      </c>
      <c r="M29" s="130">
        <f>IF(L29="","",IF(L29="Muy Baja",0.2,IF(L29="Baja",0.4,IF(L29="Media",0.6,IF(L29="Alta",0.8,IF(L29="Muy Alta",1,))))))</f>
        <v>0.4</v>
      </c>
      <c r="N29" s="130" t="s">
        <v>147</v>
      </c>
      <c r="O29" s="130" t="str">
        <f ca="1">IF(NOT(ISERROR(MATCH(N29,'Tabla Impacto'!$B$221:$B$223,0))),'Tabla Impacto'!$F$223&amp;"Por favor no seleccionar los criterios de impacto(Afectación Económica o presupuestal y Pérdida Reputacional)",N29)</f>
        <v xml:space="preserve">     El riesgo afecta la imagen de la entidad internamente, de conocimiento general, nivel interno, de junta dircetiva y accionistas y/o de provedores</v>
      </c>
      <c r="P29" s="130"/>
      <c r="Q29" s="130"/>
      <c r="R29" s="130"/>
      <c r="S29" s="130"/>
      <c r="T29" s="130"/>
      <c r="U29" s="140"/>
      <c r="V29" s="140"/>
      <c r="W29" s="140"/>
      <c r="X29" s="140"/>
      <c r="Y29" s="140"/>
      <c r="Z29" s="140"/>
      <c r="AA29" s="140"/>
      <c r="AB29" s="140"/>
      <c r="AC29" s="140"/>
      <c r="AD29" s="130"/>
      <c r="AE29" s="130"/>
      <c r="AF29" s="130"/>
      <c r="AG29" s="130"/>
      <c r="AH29" s="130"/>
      <c r="AI29" s="129" t="str">
        <f ca="1">IF(OR(D29='Opciones Tratamiento'!$H$2,D29='Opciones Tratamiento'!$H$4),IF(OR(O29='Tabla Impacto'!$C$11,O29='Tabla Impacto'!$D$11),"Leve",IF(OR(O29='Tabla Impacto'!$C$12,O29='Tabla Impacto'!$D$12),"Menor",IF(OR(O29='Tabla Impacto'!$C$13,O29='Tabla Impacto'!$D$13),"Moderado",IF(OR(O29='Tabla Impacto'!$C$14,O29='Tabla Impacto'!$D$14),"Mayor",IF(OR(O29='Tabla Impacto'!$C$15,O29='Tabla Impacto'!$D$15),"Catastrófico",""))))),IF(D29='Opciones Tratamiento'!$H$3,IF(COUNTIF('Mapa final'!P29:AH29,"Si")&lt;=5,"Moderado",IF(AND(COUNTIF('Mapa final'!P29:AH29,"Si")&gt;5,COUNTIF('Mapa final'!P29:AH29,"Si")&lt;=10),"Mayor",IF(COUNTIF('Mapa final'!P29:AH29,"Si")&gt;10,"Catastrófico","")))))</f>
        <v>Menor</v>
      </c>
      <c r="AJ29" s="130">
        <f ca="1">IF(AI29="","",IF(AI29="Leve",0.2,IF(AI29="Menor",0.4,IF(AI29="Moderado",0.6,IF(AI29="Mayor",0.8,IF(AI29="Catastrófico",1,))))))</f>
        <v>0.4</v>
      </c>
      <c r="AK29" s="131" t="str">
        <f ca="1">IF(OR(AND(L29="Muy Baja",AI29="Leve"),AND(L29="Muy Baja",AI29="Menor"),AND(L29="Baja",AI29="Leve")),"Bajo",IF(OR(AND(L29="Muy baja",AI29="Moderado"),AND(L29="Baja",AI29="Menor"),AND(L29="Baja",AI29="Moderado"),AND(L29="Media",AI29="Leve"),AND(L29="Media",AI29="Menor"),AND(L29="Media",AI29="Moderado"),AND(L29="Alta",AI29="Leve"),AND(L29="Alta",AI29="Menor")),"Moderado",IF(OR(AND(L29="Muy Baja",AI29="Mayor"),AND(L29="Baja",AI29="Mayor"),AND(L29="Media",AI29="Mayor"),AND(L29="Alta",AI29="Moderado"),AND(L29="Alta",AI29="Mayor"),AND(L29="Muy Alta",AI29="Leve"),AND(L29="Muy Alta",AI29="Menor"),AND(L29="Muy Alta",AI29="Moderado"),AND(L29="Muy Alta",AI29="Mayor")),"Alto",IF(OR(AND(L29="Muy Baja",AI29="Catastrófico"),AND(L29="Baja",AI29="Catastrófico"),AND(L29="Media",AI29="Catastrófico"),AND(L29="Alta",AI29="Catastrófico"),AND(L29="Muy Alta",AI29="Catastrófico")),"Extremo",""))))</f>
        <v>Moderado</v>
      </c>
      <c r="AL29" s="127">
        <v>1</v>
      </c>
      <c r="AM29" s="127"/>
      <c r="AN29" s="127" t="e">
        <f>VLOOKUP(AM29,'Opciones Tratamiento'!$M$2:$O$37,3,FALSE)</f>
        <v>#N/A</v>
      </c>
      <c r="AO29" s="132" t="e">
        <f>VLOOKUP(AM29,'Opciones Tratamiento'!$M$2:$O$37,2,FALSE)</f>
        <v>#N/A</v>
      </c>
      <c r="AP29" s="133" t="s">
        <v>459</v>
      </c>
      <c r="AQ29" s="127" t="str">
        <f t="shared" ref="AQ29" si="14">IF(OR(AR29="Preventivo",AR29="Detectivo"),"Probabilidad",IF(AR29="Correctivo","Impacto",""))</f>
        <v>Probabilidad</v>
      </c>
      <c r="AR29" s="134" t="s">
        <v>165</v>
      </c>
      <c r="AS29" s="134" t="s">
        <v>173</v>
      </c>
      <c r="AT29" s="135" t="str">
        <f t="shared" ref="AT29" si="15">IF(AND(AR29="Preventivo",AS29="Automático"),"50%",IF(AND(AR29="Preventivo",AS29="Manual"),"40%",IF(AND(AR29="Detectivo",AS29="Automático"),"40%",IF(AND(AR29="Detectivo",AS29="Manual"),"30%",IF(AND(AR29="Correctivo",AS29="Automático"),"35%",IF(AND(AR29="Correctivo",AS29="Manual"),"25%",""))))))</f>
        <v>40%</v>
      </c>
      <c r="AU29" s="134" t="s">
        <v>176</v>
      </c>
      <c r="AV29" s="134" t="s">
        <v>181</v>
      </c>
      <c r="AW29" s="134" t="s">
        <v>185</v>
      </c>
      <c r="AX29" s="136">
        <f>IFERROR(IF(AQ29="Probabilidad",(M29-(+M29*AT29)),IF(AQ29="Impacto",M29,"")),"")</f>
        <v>0.24</v>
      </c>
      <c r="AY29" s="137" t="str">
        <f t="shared" ref="AY29" si="16">IFERROR(IF(AX29="","",IF(AX29&lt;=0.2,"Muy Baja",IF(AX29&lt;=0.4,"Baja",IF(AX29&lt;=0.6,"Media",IF(AX29&lt;=0.8,"Alta","Muy Alta"))))),"")</f>
        <v>Baja</v>
      </c>
      <c r="AZ29" s="135">
        <f t="shared" ref="AZ29" si="17">+AX29</f>
        <v>0.24</v>
      </c>
      <c r="BA29" s="137" t="str">
        <f t="shared" ref="BA29" ca="1" si="18">IFERROR(IF(BB29="","",IF(BB29&lt;=0.2,"Leve",IF(BB29&lt;=0.4,"Menor",IF(BB29&lt;=0.6,"Moderado",IF(BB29&lt;=0.8,"Mayor","Catastrófico"))))),"")</f>
        <v>Menor</v>
      </c>
      <c r="BB29" s="135">
        <f ca="1">IFERROR(IF(AQ29="Impacto",(AJ29-(+AJ29*AT29)),IF(AQ29="Probabilidad",AJ29,"")),"")</f>
        <v>0.4</v>
      </c>
      <c r="BC29" s="138" t="str">
        <f t="shared" ref="BC29" ca="1" si="19">IFERROR(IF(OR(AND(AY29="Muy Baja",BA29="Leve"),AND(AY29="Muy Baja",BA29="Menor"),AND(AY29="Baja",BA29="Leve")),"Bajo",IF(OR(AND(AY29="Muy baja",BA29="Moderado"),AND(AY29="Baja",BA29="Menor"),AND(AY29="Baja",BA29="Moderado"),AND(AY29="Media",BA29="Leve"),AND(AY29="Media",BA29="Menor"),AND(AY29="Media",BA29="Moderado"),AND(AY29="Alta",BA29="Leve"),AND(AY29="Alta",BA29="Menor")),"Moderado",IF(OR(AND(AY29="Muy Baja",BA29="Mayor"),AND(AY29="Baja",BA29="Mayor"),AND(AY29="Media",BA29="Mayor"),AND(AY29="Alta",BA29="Moderado"),AND(AY29="Alta",BA29="Mayor"),AND(AY29="Muy Alta",BA29="Leve"),AND(AY29="Muy Alta",BA29="Menor"),AND(AY29="Muy Alta",BA29="Moderado"),AND(AY29="Muy Alta",BA29="Mayor")),"Alto",IF(OR(AND(AY29="Muy Baja",BA29="Catastrófico"),AND(AY29="Baja",BA29="Catastrófico"),AND(AY29="Media",BA29="Catastrófico"),AND(AY29="Alta",BA29="Catastrófico"),AND(AY29="Muy Alta",BA29="Catastrófico")),"Extremo","")))),"")</f>
        <v>Moderado</v>
      </c>
      <c r="BD29" s="134" t="s">
        <v>190</v>
      </c>
      <c r="BE29" s="120"/>
      <c r="BF29" s="127"/>
      <c r="BG29" s="139"/>
      <c r="BH29" s="139"/>
      <c r="BI29" s="120"/>
      <c r="BJ29" s="127"/>
      <c r="BK29" s="18"/>
      <c r="BL29" s="18"/>
      <c r="BM29" s="18"/>
      <c r="BN29" s="18"/>
      <c r="BO29" s="18"/>
      <c r="BP29" s="18"/>
      <c r="BQ29" s="18"/>
      <c r="BR29" s="18"/>
      <c r="BS29" s="18"/>
      <c r="BT29" s="18"/>
      <c r="BU29" s="18"/>
      <c r="BV29" s="18"/>
      <c r="BW29" s="18"/>
      <c r="BX29" s="18"/>
      <c r="BY29" s="18"/>
      <c r="BZ29" s="18"/>
      <c r="CA29" s="18"/>
      <c r="CB29" s="18"/>
      <c r="CC29" s="18"/>
      <c r="CD29" s="18"/>
    </row>
    <row r="30" spans="1:82" ht="101.45" customHeight="1" x14ac:dyDescent="0.3">
      <c r="A30" s="183">
        <v>13</v>
      </c>
      <c r="B30" s="183" t="s">
        <v>457</v>
      </c>
      <c r="C30" s="183" t="s">
        <v>193</v>
      </c>
      <c r="D30" s="183" t="s">
        <v>217</v>
      </c>
      <c r="E30" s="183"/>
      <c r="F30" s="183" t="s">
        <v>460</v>
      </c>
      <c r="G30" s="183" t="s">
        <v>585</v>
      </c>
      <c r="H30" s="183" t="str">
        <f>_xlfn.CONCAT("Posibilidad de afectación ",IF(C30='Opciones Tratamiento'!$E$2,"económica",IF(C30='Opciones Tratamiento'!$E$4,"económica y reputacional",LOWER(C30)))," por ",LOWER(F30), ", debido a ",LOWER(G30))</f>
        <v>Posibilidad de afectación reputacional por perdida de confiabilidad en la emisión de informes de gestión de las ccf., debido a inexactitud de la información reportada por las ccf y
errores en la transcripción de la información para el informe</v>
      </c>
      <c r="I30" s="183" t="s">
        <v>201</v>
      </c>
      <c r="J30" s="185" t="s">
        <v>231</v>
      </c>
      <c r="K30" s="185" t="s">
        <v>251</v>
      </c>
      <c r="L30" s="187" t="str">
        <f>IF(OR(K30='Opciones Tratamiento'!$K$14,K30='Opciones Tratamiento'!$K$15,K30='Opciones Tratamiento'!$K$16),"Muy Baja",IF(OR(K30='Opciones Tratamiento'!$K$10,K30='Opciones Tratamiento'!$K$11,K30='Opciones Tratamiento'!$K$12,K30='Opciones Tratamiento'!$K$13),"Baja",IF(OR(K30='Opciones Tratamiento'!$K$4,K30='Opciones Tratamiento'!$K$5,K30='Opciones Tratamiento'!$K$6,K30='Opciones Tratamiento'!$K$7,K30='Opciones Tratamiento'!$K$8,K30='Opciones Tratamiento'!$K$9),"Media",IF(K30='Opciones Tratamiento'!$K$3,"Alta",IF(OR(K30='Opciones Tratamiento'!$K$2,K30='Opciones Tratamiento'!$K$17),"Muy Alta")))))</f>
        <v>Baja</v>
      </c>
      <c r="M30" s="188">
        <f>IF(L30="","",IF(L30="Muy Baja",0.2,IF(L30="Baja",0.4,IF(L30="Media",0.6,IF(L30="Alta",0.8,IF(L30="Muy Alta",1,))))))</f>
        <v>0.4</v>
      </c>
      <c r="N30" s="188" t="s">
        <v>147</v>
      </c>
      <c r="O30" s="188" t="str">
        <f ca="1">IF(NOT(ISERROR(MATCH(N30,'Tabla Impacto'!$B$221:$B$223,0))),'Tabla Impacto'!$F$223&amp;"Por favor no seleccionar los criterios de impacto(Afectación Económica o presupuestal y Pérdida Reputacional)",N30)</f>
        <v xml:space="preserve">     El riesgo afecta la imagen de la entidad internamente, de conocimiento general, nivel interno, de junta dircetiva y accionistas y/o de provedores</v>
      </c>
      <c r="P30" s="130"/>
      <c r="Q30" s="130"/>
      <c r="R30" s="130"/>
      <c r="S30" s="130"/>
      <c r="T30" s="130"/>
      <c r="U30" s="140"/>
      <c r="V30" s="140"/>
      <c r="W30" s="140"/>
      <c r="X30" s="140"/>
      <c r="Y30" s="140"/>
      <c r="Z30" s="140"/>
      <c r="AA30" s="140"/>
      <c r="AB30" s="140"/>
      <c r="AC30" s="140"/>
      <c r="AD30" s="130"/>
      <c r="AE30" s="130"/>
      <c r="AF30" s="130"/>
      <c r="AG30" s="130"/>
      <c r="AH30" s="130"/>
      <c r="AI30" s="187" t="str">
        <f ca="1">IF(OR(D30='Opciones Tratamiento'!$H$2,D30='Opciones Tratamiento'!$H$4),IF(OR(O30='Tabla Impacto'!$C$11,O30='Tabla Impacto'!$D$11),"Leve",IF(OR(O30='Tabla Impacto'!$C$12,O30='Tabla Impacto'!$D$12),"Menor",IF(OR(O30='Tabla Impacto'!$C$13,O30='Tabla Impacto'!$D$13),"Moderado",IF(OR(O30='Tabla Impacto'!$C$14,O30='Tabla Impacto'!$D$14),"Mayor",IF(OR(O30='Tabla Impacto'!$C$15,O30='Tabla Impacto'!$D$15),"Catastrófico",""))))),IF(D30='Opciones Tratamiento'!$H$3,IF(COUNTIF('Mapa final'!P30:AH30,"Si")&lt;=5,"Moderado",IF(AND(COUNTIF('Mapa final'!P30:AH30,"Si")&gt;5,COUNTIF('Mapa final'!P30:AH30,"Si")&lt;=10),"Mayor",IF(COUNTIF('Mapa final'!P30:AH30,"Si")&gt;10,"Catastrófico","")))))</f>
        <v>Menor</v>
      </c>
      <c r="AJ30" s="188">
        <f ca="1">IF(AI30="","",IF(AI30="Leve",0.2,IF(AI30="Menor",0.4,IF(AI30="Moderado",0.6,IF(AI30="Mayor",0.8,IF(AI30="Catastrófico",1,))))))</f>
        <v>0.4</v>
      </c>
      <c r="AK30" s="190" t="str">
        <f ca="1">IF(OR(AND(L30="Muy Baja",AI30="Leve"),AND(L30="Muy Baja",AI30="Menor"),AND(L30="Baja",AI30="Leve")),"Bajo",IF(OR(AND(L30="Muy baja",AI30="Moderado"),AND(L30="Baja",AI30="Menor"),AND(L30="Baja",AI30="Moderado"),AND(L30="Media",AI30="Leve"),AND(L30="Media",AI30="Menor"),AND(L30="Media",AI30="Moderado"),AND(L30="Alta",AI30="Leve"),AND(L30="Alta",AI30="Menor")),"Moderado",IF(OR(AND(L30="Muy Baja",AI30="Mayor"),AND(L30="Baja",AI30="Mayor"),AND(L30="Media",AI30="Mayor"),AND(L30="Alta",AI30="Moderado"),AND(L30="Alta",AI30="Mayor"),AND(L30="Muy Alta",AI30="Leve"),AND(L30="Muy Alta",AI30="Menor"),AND(L30="Muy Alta",AI30="Moderado"),AND(L30="Muy Alta",AI30="Mayor")),"Alto",IF(OR(AND(L30="Muy Baja",AI30="Catastrófico"),AND(L30="Baja",AI30="Catastrófico"),AND(L30="Media",AI30="Catastrófico"),AND(L30="Alta",AI30="Catastrófico"),AND(L30="Muy Alta",AI30="Catastrófico")),"Extremo",""))))</f>
        <v>Moderado</v>
      </c>
      <c r="AL30" s="127">
        <v>1</v>
      </c>
      <c r="AM30" s="127"/>
      <c r="AN30" s="127" t="e">
        <f>VLOOKUP(AM30,'Opciones Tratamiento'!$M$2:$O$37,3,FALSE)</f>
        <v>#N/A</v>
      </c>
      <c r="AO30" s="132" t="e">
        <f>VLOOKUP(AM30,'Opciones Tratamiento'!$M$2:$O$37,2,FALSE)</f>
        <v>#N/A</v>
      </c>
      <c r="AP30" s="132" t="s">
        <v>461</v>
      </c>
      <c r="AQ30" s="127" t="str">
        <f t="shared" ref="AQ30:AQ31" si="20">IF(OR(AR30="Preventivo",AR30="Detectivo"),"Probabilidad",IF(AR30="Correctivo","Impacto",""))</f>
        <v>Probabilidad</v>
      </c>
      <c r="AR30" s="134" t="s">
        <v>165</v>
      </c>
      <c r="AS30" s="134" t="s">
        <v>173</v>
      </c>
      <c r="AT30" s="135" t="str">
        <f t="shared" ref="AT30:AT31" si="21">IF(AND(AR30="Preventivo",AS30="Automático"),"50%",IF(AND(AR30="Preventivo",AS30="Manual"),"40%",IF(AND(AR30="Detectivo",AS30="Automático"),"40%",IF(AND(AR30="Detectivo",AS30="Manual"),"30%",IF(AND(AR30="Correctivo",AS30="Automático"),"35%",IF(AND(AR30="Correctivo",AS30="Manual"),"25%",""))))))</f>
        <v>40%</v>
      </c>
      <c r="AU30" s="134" t="s">
        <v>176</v>
      </c>
      <c r="AV30" s="134" t="s">
        <v>181</v>
      </c>
      <c r="AW30" s="134" t="s">
        <v>185</v>
      </c>
      <c r="AX30" s="136">
        <f>IFERROR(IF(AQ30="Probabilidad",(M30-(+M30*AT30)),IF(AQ30="Impacto",M30,"")),"")</f>
        <v>0.24</v>
      </c>
      <c r="AY30" s="137" t="str">
        <f t="shared" ref="AY30:AY31" si="22">IFERROR(IF(AX30="","",IF(AX30&lt;=0.2,"Muy Baja",IF(AX30&lt;=0.4,"Baja",IF(AX30&lt;=0.6,"Media",IF(AX30&lt;=0.8,"Alta","Muy Alta"))))),"")</f>
        <v>Baja</v>
      </c>
      <c r="AZ30" s="135">
        <f t="shared" ref="AZ30:AZ31" si="23">+AX30</f>
        <v>0.24</v>
      </c>
      <c r="BA30" s="137" t="str">
        <f t="shared" ref="BA30:BA31" ca="1" si="24">IFERROR(IF(BB30="","",IF(BB30&lt;=0.2,"Leve",IF(BB30&lt;=0.4,"Menor",IF(BB30&lt;=0.6,"Moderado",IF(BB30&lt;=0.8,"Mayor","Catastrófico"))))),"")</f>
        <v>Menor</v>
      </c>
      <c r="BB30" s="135">
        <f ca="1">IFERROR(IF(AQ30="Impacto",(AJ30-(+AJ30*AT30)),IF(AQ30="Probabilidad",AJ30,"")),"")</f>
        <v>0.4</v>
      </c>
      <c r="BC30" s="138" t="str">
        <f t="shared" ref="BC30:BC31" ca="1" si="25">IFERROR(IF(OR(AND(AY30="Muy Baja",BA30="Leve"),AND(AY30="Muy Baja",BA30="Menor"),AND(AY30="Baja",BA30="Leve")),"Bajo",IF(OR(AND(AY30="Muy baja",BA30="Moderado"),AND(AY30="Baja",BA30="Menor"),AND(AY30="Baja",BA30="Moderado"),AND(AY30="Media",BA30="Leve"),AND(AY30="Media",BA30="Menor"),AND(AY30="Media",BA30="Moderado"),AND(AY30="Alta",BA30="Leve"),AND(AY30="Alta",BA30="Menor")),"Moderado",IF(OR(AND(AY30="Muy Baja",BA30="Mayor"),AND(AY30="Baja",BA30="Mayor"),AND(AY30="Media",BA30="Mayor"),AND(AY30="Alta",BA30="Moderado"),AND(AY30="Alta",BA30="Mayor"),AND(AY30="Muy Alta",BA30="Leve"),AND(AY30="Muy Alta",BA30="Menor"),AND(AY30="Muy Alta",BA30="Moderado"),AND(AY30="Muy Alta",BA30="Mayor")),"Alto",IF(OR(AND(AY30="Muy Baja",BA30="Catastrófico"),AND(AY30="Baja",BA30="Catastrófico"),AND(AY30="Media",BA30="Catastrófico"),AND(AY30="Alta",BA30="Catastrófico"),AND(AY30="Muy Alta",BA30="Catastrófico")),"Extremo","")))),"")</f>
        <v>Moderado</v>
      </c>
      <c r="BD30" s="134" t="s">
        <v>196</v>
      </c>
      <c r="BE30" s="120"/>
      <c r="BF30" s="127"/>
      <c r="BG30" s="139"/>
      <c r="BH30" s="139"/>
      <c r="BI30" s="120"/>
      <c r="BJ30" s="127"/>
      <c r="BK30" s="18"/>
      <c r="BL30" s="18"/>
      <c r="BM30" s="18"/>
      <c r="BN30" s="18"/>
      <c r="BO30" s="18"/>
      <c r="BP30" s="18"/>
      <c r="BQ30" s="18"/>
      <c r="BR30" s="18"/>
      <c r="BS30" s="18"/>
      <c r="BT30" s="18"/>
      <c r="BU30" s="18"/>
      <c r="BV30" s="18"/>
      <c r="BW30" s="18"/>
      <c r="BX30" s="18"/>
      <c r="BY30" s="18"/>
      <c r="BZ30" s="18"/>
      <c r="CA30" s="18"/>
      <c r="CB30" s="18"/>
      <c r="CC30" s="18"/>
      <c r="CD30" s="18"/>
    </row>
    <row r="31" spans="1:82" ht="101.45" customHeight="1" x14ac:dyDescent="0.3">
      <c r="A31" s="184"/>
      <c r="B31" s="184"/>
      <c r="C31" s="186"/>
      <c r="D31" s="186"/>
      <c r="E31" s="186"/>
      <c r="F31" s="186"/>
      <c r="G31" s="186"/>
      <c r="H31" s="186"/>
      <c r="I31" s="186"/>
      <c r="J31" s="186"/>
      <c r="K31" s="186"/>
      <c r="L31" s="186"/>
      <c r="M31" s="186"/>
      <c r="N31" s="186"/>
      <c r="O31" s="186"/>
      <c r="P31" s="130"/>
      <c r="Q31" s="130"/>
      <c r="R31" s="130"/>
      <c r="S31" s="130"/>
      <c r="T31" s="130"/>
      <c r="U31" s="140"/>
      <c r="V31" s="140"/>
      <c r="W31" s="140"/>
      <c r="X31" s="140"/>
      <c r="Y31" s="140"/>
      <c r="Z31" s="140"/>
      <c r="AA31" s="140"/>
      <c r="AB31" s="140"/>
      <c r="AC31" s="140"/>
      <c r="AD31" s="130"/>
      <c r="AE31" s="130"/>
      <c r="AF31" s="130"/>
      <c r="AG31" s="130"/>
      <c r="AH31" s="130"/>
      <c r="AI31" s="186"/>
      <c r="AJ31" s="186"/>
      <c r="AK31" s="186"/>
      <c r="AL31" s="127">
        <v>2</v>
      </c>
      <c r="AM31" s="127"/>
      <c r="AN31" s="127" t="e">
        <f>VLOOKUP(AM31,'Opciones Tratamiento'!$M$2:$O$37,3,FALSE)</f>
        <v>#N/A</v>
      </c>
      <c r="AO31" s="132" t="e">
        <f>VLOOKUP(AM31,'Opciones Tratamiento'!$M$2:$O$37,2,FALSE)</f>
        <v>#N/A</v>
      </c>
      <c r="AP31" s="132" t="s">
        <v>586</v>
      </c>
      <c r="AQ31" s="127" t="str">
        <f t="shared" si="20"/>
        <v>Probabilidad</v>
      </c>
      <c r="AR31" s="134" t="s">
        <v>165</v>
      </c>
      <c r="AS31" s="134" t="s">
        <v>173</v>
      </c>
      <c r="AT31" s="135" t="str">
        <f t="shared" si="21"/>
        <v>40%</v>
      </c>
      <c r="AU31" s="134" t="s">
        <v>176</v>
      </c>
      <c r="AV31" s="134" t="s">
        <v>181</v>
      </c>
      <c r="AW31" s="134" t="s">
        <v>185</v>
      </c>
      <c r="AX31" s="136">
        <f>IFERROR(IF(AND(AQ30="Probabilidad",AQ31="Probabilidad"),(AZ30-(+AZ30*AT31)),IF(AQ31="Probabilidad",(M30-(+M30*AT31)),IF(AQ31="Impacto",AZ30,""))),"")</f>
        <v>0.14399999999999999</v>
      </c>
      <c r="AY31" s="137" t="str">
        <f t="shared" si="22"/>
        <v>Muy Baja</v>
      </c>
      <c r="AZ31" s="135">
        <f t="shared" si="23"/>
        <v>0.14399999999999999</v>
      </c>
      <c r="BA31" s="137" t="str">
        <f t="shared" ca="1" si="24"/>
        <v>Menor</v>
      </c>
      <c r="BB31" s="135">
        <f ca="1">IFERROR(IF(AND(AQ30="Impacto",AQ31="Impacto"),(BB29-(+BB29*AT31)),IF(AQ31="Impacto",($AJ$25-(+$AJ$25*AT31)),IF(AQ31="Probabilidad",BB29,""))),"")</f>
        <v>0.4</v>
      </c>
      <c r="BC31" s="138" t="str">
        <f t="shared" ca="1" si="25"/>
        <v>Bajo</v>
      </c>
      <c r="BD31" s="134" t="s">
        <v>190</v>
      </c>
      <c r="BE31" s="120"/>
      <c r="BF31" s="127"/>
      <c r="BG31" s="139"/>
      <c r="BH31" s="139"/>
      <c r="BI31" s="120"/>
      <c r="BJ31" s="127"/>
      <c r="BK31" s="24"/>
      <c r="BL31" s="24"/>
      <c r="BM31" s="24"/>
      <c r="BN31" s="24"/>
      <c r="BO31" s="24"/>
      <c r="BP31" s="24"/>
      <c r="BQ31" s="24"/>
      <c r="BR31" s="24"/>
      <c r="BS31" s="24"/>
      <c r="BT31" s="24"/>
      <c r="BU31" s="24"/>
      <c r="BV31" s="24"/>
      <c r="BW31" s="24"/>
      <c r="BX31" s="24"/>
      <c r="BY31" s="24"/>
      <c r="BZ31" s="24"/>
      <c r="CA31" s="24"/>
      <c r="CB31" s="24"/>
      <c r="CC31" s="24"/>
      <c r="CD31" s="24"/>
    </row>
    <row r="32" spans="1:82" ht="106.5" customHeight="1" x14ac:dyDescent="0.3">
      <c r="A32" s="183">
        <v>14</v>
      </c>
      <c r="B32" s="183" t="s">
        <v>462</v>
      </c>
      <c r="C32" s="183" t="s">
        <v>193</v>
      </c>
      <c r="D32" s="183" t="s">
        <v>217</v>
      </c>
      <c r="E32" s="183"/>
      <c r="F32" s="189" t="s">
        <v>463</v>
      </c>
      <c r="G32" s="183" t="str">
        <f>_xlfn.CONCAT("Posibilidad de afectación ",IF(B32='[1]Opciones Tratamiento'!$E$2,"económica",IF(B32='[1]Opciones Tratamiento'!$E$4,"económica y reputacional",LOWER(B32)))," por ",LOWER(E32), ", debido a ",LOWER(F32))</f>
        <v>Posibilidad de afectación visita a entes vigilados por , debido a remisión de informes por fuera de los términos establecidos
demora en las revisiones y vistos buenos por parte de los directores y delegado
exceso de carga laboral comisionados que no cuenten con las competencias técnicas necesarias para la realización de las visitas.</v>
      </c>
      <c r="H32" s="183" t="str">
        <f>_xlfn.CONCAT("Posibilidad de afectación ",IF(C32='Opciones Tratamiento'!$E$2,"económica",IF(C32='Opciones Tratamiento'!$E$4,"económica y reputacional",LOWER(C32)))," por ",LOWER(F32), ", debido a ",LOWER(G32))</f>
        <v>Posibilidad de afectación reputacional por remisión de informes por fuera de los términos establecidos
demora en las revisiones y vistos buenos por parte de los directores y delegado
exceso de carga laboral comisionados que no cuenten con las competencias técnicas necesarias para la realización de las visitas., debido a posibilidad de afectación visita a entes vigilados por , debido a remisión de informes por fuera de los términos establecidos
demora en las revisiones y vistos buenos por parte de los directores y delegado
exceso de carga laboral comisionados que no cuenten con las competencias técnicas necesarias para la realización de las visitas.</v>
      </c>
      <c r="I32" s="183" t="s">
        <v>201</v>
      </c>
      <c r="J32" s="185" t="s">
        <v>230</v>
      </c>
      <c r="K32" s="185" t="s">
        <v>246</v>
      </c>
      <c r="L32" s="187" t="str">
        <f>IF(OR(K32='Opciones Tratamiento'!$K$14,K32='Opciones Tratamiento'!$K$15,K32='Opciones Tratamiento'!$K$16),"Muy Baja",IF(OR(K32='Opciones Tratamiento'!$K$10,K32='Opciones Tratamiento'!$K$11,K32='Opciones Tratamiento'!$K$12,K32='Opciones Tratamiento'!$K$13),"Baja",IF(OR(K32='Opciones Tratamiento'!$K$4,K32='Opciones Tratamiento'!$K$5,K32='Opciones Tratamiento'!$K$6,K32='Opciones Tratamiento'!$K$7,K32='Opciones Tratamiento'!$K$8,K32='Opciones Tratamiento'!$K$9),"Media",IF(K32='Opciones Tratamiento'!$K$3,"Alta",IF(OR(K32='Opciones Tratamiento'!$K$2,K32='Opciones Tratamiento'!$K$17),"Muy Alta")))))</f>
        <v>Media</v>
      </c>
      <c r="M32" s="188">
        <f>IF(L32="","",IF(L32="Muy Baja",0.2,IF(L32="Baja",0.4,IF(L32="Media",0.6,IF(L32="Alta",0.8,IF(L32="Muy Alta",1,))))))</f>
        <v>0.6</v>
      </c>
      <c r="N32" s="188" t="s">
        <v>151</v>
      </c>
      <c r="O32" s="188" t="str">
        <f ca="1">IF(NOT(ISERROR(MATCH(N32,'Tabla Impacto'!$B$221:$B$223,0))),'Tabla Impacto'!$F$223&amp;"Por favor no seleccionar los criterios de impacto(Afectación Económica o presupuestal y Pérdida Reputacional)",N32)</f>
        <v xml:space="preserve">     El riesgo afecta la imagen de de la entidad con efecto publicitario sostenido a nivel de sector administrativo, nivel departamental o municipal</v>
      </c>
      <c r="P32" s="130"/>
      <c r="Q32" s="130"/>
      <c r="R32" s="130"/>
      <c r="S32" s="130"/>
      <c r="T32" s="130"/>
      <c r="U32" s="140"/>
      <c r="V32" s="140"/>
      <c r="W32" s="140"/>
      <c r="X32" s="140"/>
      <c r="Y32" s="140"/>
      <c r="Z32" s="140"/>
      <c r="AA32" s="140"/>
      <c r="AB32" s="140"/>
      <c r="AC32" s="140"/>
      <c r="AD32" s="130"/>
      <c r="AE32" s="130"/>
      <c r="AF32" s="130"/>
      <c r="AG32" s="130"/>
      <c r="AH32" s="130"/>
      <c r="AI32" s="187" t="str">
        <f ca="1">IF(OR(D32='Opciones Tratamiento'!$H$2,D32='Opciones Tratamiento'!$H$4),IF(OR(O32='Tabla Impacto'!$C$11,O32='Tabla Impacto'!$D$11),"Leve",IF(OR(O32='Tabla Impacto'!$C$12,O32='Tabla Impacto'!$D$12),"Menor",IF(OR(O32='Tabla Impacto'!$C$13,O32='Tabla Impacto'!$D$13),"Moderado",IF(OR(O32='Tabla Impacto'!$C$14,O32='Tabla Impacto'!$D$14),"Mayor",IF(OR(O32='Tabla Impacto'!$C$15,O32='Tabla Impacto'!$D$15),"Catastrófico",""))))),IF(D32='Opciones Tratamiento'!$H$3,IF(COUNTIF('Mapa final'!P32:AH32,"Si")&lt;=5,"Moderado",IF(AND(COUNTIF('Mapa final'!P32:AH32,"Si")&gt;5,COUNTIF('Mapa final'!P32:AH32,"Si")&lt;=10),"Mayor",IF(COUNTIF('Mapa final'!P32:AH32,"Si")&gt;10,"Catastrófico","")))))</f>
        <v>Mayor</v>
      </c>
      <c r="AJ32" s="188">
        <f ca="1">IF(AI32="","",IF(AI32="Leve",0.2,IF(AI32="Menor",0.4,IF(AI32="Moderado",0.6,IF(AI32="Mayor",0.8,IF(AI32="Catastrófico",1,))))))</f>
        <v>0.8</v>
      </c>
      <c r="AK32" s="190" t="str">
        <f ca="1">IF(OR(AND(L32="Muy Baja",AI32="Leve"),AND(L32="Muy Baja",AI32="Menor"),AND(L32="Baja",AI32="Leve")),"Bajo",IF(OR(AND(L32="Muy baja",AI32="Moderado"),AND(L32="Baja",AI32="Menor"),AND(L32="Baja",AI32="Moderado"),AND(L32="Media",AI32="Leve"),AND(L32="Media",AI32="Menor"),AND(L32="Media",AI32="Moderado"),AND(L32="Alta",AI32="Leve"),AND(L32="Alta",AI32="Menor")),"Moderado",IF(OR(AND(L32="Muy Baja",AI32="Mayor"),AND(L32="Baja",AI32="Mayor"),AND(L32="Media",AI32="Mayor"),AND(L32="Alta",AI32="Moderado"),AND(L32="Alta",AI32="Mayor"),AND(L32="Muy Alta",AI32="Leve"),AND(L32="Muy Alta",AI32="Menor"),AND(L32="Muy Alta",AI32="Moderado"),AND(L32="Muy Alta",AI32="Mayor")),"Alto",IF(OR(AND(L32="Muy Baja",AI32="Catastrófico"),AND(L32="Baja",AI32="Catastrófico"),AND(L32="Media",AI32="Catastrófico"),AND(L32="Alta",AI32="Catastrófico"),AND(L32="Muy Alta",AI32="Catastrófico")),"Extremo",""))))</f>
        <v>Alto</v>
      </c>
      <c r="AL32" s="127">
        <v>1</v>
      </c>
      <c r="AM32" s="127"/>
      <c r="AN32" s="127" t="e">
        <f>VLOOKUP(AM32,'Opciones Tratamiento'!$M$2:$O$37,3,FALSE)</f>
        <v>#N/A</v>
      </c>
      <c r="AO32" s="132" t="e">
        <f>VLOOKUP(AM32,'Opciones Tratamiento'!$M$2:$O$37,2,FALSE)</f>
        <v>#N/A</v>
      </c>
      <c r="AP32" s="133" t="s">
        <v>464</v>
      </c>
      <c r="AQ32" s="127" t="str">
        <f t="shared" ref="AQ32:AQ35" si="26">IF(OR(AR32="Preventivo",AR32="Detectivo"),"Probabilidad",IF(AR32="Correctivo","Impacto",""))</f>
        <v>Probabilidad</v>
      </c>
      <c r="AR32" s="134" t="s">
        <v>165</v>
      </c>
      <c r="AS32" s="134" t="s">
        <v>173</v>
      </c>
      <c r="AT32" s="135" t="str">
        <f t="shared" ref="AT32:AT35" si="27">IF(AND(AR32="Preventivo",AS32="Automático"),"50%",IF(AND(AR32="Preventivo",AS32="Manual"),"40%",IF(AND(AR32="Detectivo",AS32="Automático"),"40%",IF(AND(AR32="Detectivo",AS32="Manual"),"30%",IF(AND(AR32="Correctivo",AS32="Automático"),"35%",IF(AND(AR32="Correctivo",AS32="Manual"),"25%",""))))))</f>
        <v>40%</v>
      </c>
      <c r="AU32" s="134" t="s">
        <v>176</v>
      </c>
      <c r="AV32" s="134" t="s">
        <v>181</v>
      </c>
      <c r="AW32" s="134" t="s">
        <v>185</v>
      </c>
      <c r="AX32" s="136">
        <f>IFERROR(IF(AQ32="Probabilidad",(M32-(+M32*AT32)),IF(AQ32="Impacto",M32,"")),"")</f>
        <v>0.36</v>
      </c>
      <c r="AY32" s="137" t="str">
        <f t="shared" ref="AY32:AY35" si="28">IFERROR(IF(AX32="","",IF(AX32&lt;=0.2,"Muy Baja",IF(AX32&lt;=0.4,"Baja",IF(AX32&lt;=0.6,"Media",IF(AX32&lt;=0.8,"Alta","Muy Alta"))))),"")</f>
        <v>Baja</v>
      </c>
      <c r="AZ32" s="135">
        <f t="shared" ref="AZ32:AZ35" si="29">+AX32</f>
        <v>0.36</v>
      </c>
      <c r="BA32" s="137" t="str">
        <f t="shared" ref="BA32:BA35" ca="1" si="30">IFERROR(IF(BB32="","",IF(BB32&lt;=0.2,"Leve",IF(BB32&lt;=0.4,"Menor",IF(BB32&lt;=0.6,"Moderado",IF(BB32&lt;=0.8,"Mayor","Catastrófico"))))),"")</f>
        <v>Mayor</v>
      </c>
      <c r="BB32" s="135">
        <f ca="1">IFERROR(IF(AQ32="Impacto",(AJ32-(+AJ32*AT32)),IF(AQ32="Probabilidad",AJ32,"")),"")</f>
        <v>0.8</v>
      </c>
      <c r="BC32" s="138" t="str">
        <f t="shared" ref="BC32:BC35" ca="1" si="31">IFERROR(IF(OR(AND(AY32="Muy Baja",BA32="Leve"),AND(AY32="Muy Baja",BA32="Menor"),AND(AY32="Baja",BA32="Leve")),"Bajo",IF(OR(AND(AY32="Muy baja",BA32="Moderado"),AND(AY32="Baja",BA32="Menor"),AND(AY32="Baja",BA32="Moderado"),AND(AY32="Media",BA32="Leve"),AND(AY32="Media",BA32="Menor"),AND(AY32="Media",BA32="Moderado"),AND(AY32="Alta",BA32="Leve"),AND(AY32="Alta",BA32="Menor")),"Moderado",IF(OR(AND(AY32="Muy Baja",BA32="Mayor"),AND(AY32="Baja",BA32="Mayor"),AND(AY32="Media",BA32="Mayor"),AND(AY32="Alta",BA32="Moderado"),AND(AY32="Alta",BA32="Mayor"),AND(AY32="Muy Alta",BA32="Leve"),AND(AY32="Muy Alta",BA32="Menor"),AND(AY32="Muy Alta",BA32="Moderado"),AND(AY32="Muy Alta",BA32="Mayor")),"Alto",IF(OR(AND(AY32="Muy Baja",BA32="Catastrófico"),AND(AY32="Baja",BA32="Catastrófico"),AND(AY32="Media",BA32="Catastrófico"),AND(AY32="Alta",BA32="Catastrófico"),AND(AY32="Muy Alta",BA32="Catastrófico")),"Extremo","")))),"")</f>
        <v>Alto</v>
      </c>
      <c r="BD32" s="134" t="s">
        <v>196</v>
      </c>
      <c r="BE32" s="120"/>
      <c r="BF32" s="127"/>
      <c r="BG32" s="139"/>
      <c r="BH32" s="139"/>
      <c r="BI32" s="120"/>
      <c r="BJ32" s="127"/>
      <c r="BK32" s="18"/>
      <c r="BL32" s="18"/>
      <c r="BM32" s="18"/>
      <c r="BN32" s="18"/>
      <c r="BO32" s="18"/>
      <c r="BP32" s="18"/>
      <c r="BQ32" s="18"/>
      <c r="BR32" s="18"/>
      <c r="BS32" s="18"/>
      <c r="BT32" s="18"/>
      <c r="BU32" s="18"/>
      <c r="BV32" s="18"/>
      <c r="BW32" s="18"/>
      <c r="BX32" s="18"/>
      <c r="BY32" s="18"/>
      <c r="BZ32" s="18"/>
      <c r="CA32" s="18"/>
      <c r="CB32" s="18"/>
      <c r="CC32" s="18"/>
      <c r="CD32" s="18"/>
    </row>
    <row r="33" spans="1:82" ht="106.5" customHeight="1" x14ac:dyDescent="0.3">
      <c r="A33" s="184"/>
      <c r="B33" s="184"/>
      <c r="C33" s="186"/>
      <c r="D33" s="186"/>
      <c r="E33" s="186"/>
      <c r="F33" s="189"/>
      <c r="G33" s="186"/>
      <c r="H33" s="186"/>
      <c r="I33" s="186"/>
      <c r="J33" s="186"/>
      <c r="K33" s="186"/>
      <c r="L33" s="186"/>
      <c r="M33" s="186"/>
      <c r="N33" s="186"/>
      <c r="O33" s="186"/>
      <c r="P33" s="130"/>
      <c r="Q33" s="130"/>
      <c r="R33" s="130"/>
      <c r="S33" s="130"/>
      <c r="T33" s="130"/>
      <c r="U33" s="140"/>
      <c r="V33" s="140"/>
      <c r="W33" s="140"/>
      <c r="X33" s="140"/>
      <c r="Y33" s="140"/>
      <c r="Z33" s="140"/>
      <c r="AA33" s="140"/>
      <c r="AB33" s="140"/>
      <c r="AC33" s="140"/>
      <c r="AD33" s="130"/>
      <c r="AE33" s="130"/>
      <c r="AF33" s="130"/>
      <c r="AG33" s="130"/>
      <c r="AH33" s="130"/>
      <c r="AI33" s="186"/>
      <c r="AJ33" s="186"/>
      <c r="AK33" s="186"/>
      <c r="AL33" s="127">
        <v>2</v>
      </c>
      <c r="AM33" s="127"/>
      <c r="AN33" s="127" t="e">
        <f>VLOOKUP(AM33,'Opciones Tratamiento'!$M$2:$O$37,3,FALSE)</f>
        <v>#N/A</v>
      </c>
      <c r="AO33" s="132" t="e">
        <f>VLOOKUP(AM33,'Opciones Tratamiento'!$M$2:$O$37,2,FALSE)</f>
        <v>#N/A</v>
      </c>
      <c r="AP33" s="133" t="s">
        <v>465</v>
      </c>
      <c r="AQ33" s="127" t="str">
        <f t="shared" si="26"/>
        <v>Probabilidad</v>
      </c>
      <c r="AR33" s="134" t="s">
        <v>165</v>
      </c>
      <c r="AS33" s="134" t="s">
        <v>173</v>
      </c>
      <c r="AT33" s="135" t="str">
        <f t="shared" si="27"/>
        <v>40%</v>
      </c>
      <c r="AU33" s="134" t="s">
        <v>176</v>
      </c>
      <c r="AV33" s="134" t="s">
        <v>181</v>
      </c>
      <c r="AW33" s="134" t="s">
        <v>185</v>
      </c>
      <c r="AX33" s="136">
        <f>IFERROR(IF(AND(AQ32="Probabilidad",AQ33="Probabilidad"),(AZ32-(+AZ32*AT33)),IF(AQ33="Probabilidad",(M32-(+M32*AT33)),IF(AQ33="Impacto",AZ32,""))),"")</f>
        <v>0.216</v>
      </c>
      <c r="AY33" s="137" t="str">
        <f t="shared" si="28"/>
        <v>Baja</v>
      </c>
      <c r="AZ33" s="135">
        <f t="shared" si="29"/>
        <v>0.216</v>
      </c>
      <c r="BA33" s="137" t="str">
        <f t="shared" ca="1" si="30"/>
        <v>Menor</v>
      </c>
      <c r="BB33" s="135">
        <f ca="1">IFERROR(IF(AND(AQ32="Impacto",AQ33="Impacto"),(BB30-(+BB30*AT33)),IF(AQ33="Impacto",($AJ$25-(+$AJ$25*AT33)),IF(AQ33="Probabilidad",BB30,""))),"")</f>
        <v>0.4</v>
      </c>
      <c r="BC33" s="138" t="str">
        <f t="shared" ca="1" si="31"/>
        <v>Moderado</v>
      </c>
      <c r="BD33" s="134" t="s">
        <v>196</v>
      </c>
      <c r="BE33" s="120"/>
      <c r="BF33" s="127"/>
      <c r="BG33" s="139"/>
      <c r="BH33" s="139"/>
      <c r="BI33" s="120"/>
      <c r="BJ33" s="127"/>
      <c r="BK33" s="24"/>
      <c r="BL33" s="24"/>
      <c r="BM33" s="24"/>
      <c r="BN33" s="24"/>
      <c r="BO33" s="24"/>
      <c r="BP33" s="24"/>
      <c r="BQ33" s="24"/>
      <c r="BR33" s="24"/>
      <c r="BS33" s="24"/>
      <c r="BT33" s="24"/>
      <c r="BU33" s="24"/>
      <c r="BV33" s="24"/>
      <c r="BW33" s="24"/>
      <c r="BX33" s="24"/>
      <c r="BY33" s="24"/>
      <c r="BZ33" s="24"/>
      <c r="CA33" s="24"/>
      <c r="CB33" s="24"/>
      <c r="CC33" s="24"/>
      <c r="CD33" s="24"/>
    </row>
    <row r="34" spans="1:82" ht="106.5" customHeight="1" x14ac:dyDescent="0.3">
      <c r="A34" s="184"/>
      <c r="B34" s="184"/>
      <c r="C34" s="186"/>
      <c r="D34" s="186"/>
      <c r="E34" s="186"/>
      <c r="F34" s="189"/>
      <c r="G34" s="186"/>
      <c r="H34" s="186"/>
      <c r="I34" s="186"/>
      <c r="J34" s="186"/>
      <c r="K34" s="186"/>
      <c r="L34" s="186"/>
      <c r="M34" s="186"/>
      <c r="N34" s="186"/>
      <c r="O34" s="186"/>
      <c r="P34" s="130"/>
      <c r="Q34" s="130"/>
      <c r="R34" s="130"/>
      <c r="S34" s="130"/>
      <c r="T34" s="130"/>
      <c r="U34" s="140"/>
      <c r="V34" s="140"/>
      <c r="W34" s="140"/>
      <c r="X34" s="140"/>
      <c r="Y34" s="140"/>
      <c r="Z34" s="140"/>
      <c r="AA34" s="140"/>
      <c r="AB34" s="140"/>
      <c r="AC34" s="140"/>
      <c r="AD34" s="130"/>
      <c r="AE34" s="130"/>
      <c r="AF34" s="130"/>
      <c r="AG34" s="130"/>
      <c r="AH34" s="130"/>
      <c r="AI34" s="186"/>
      <c r="AJ34" s="186"/>
      <c r="AK34" s="186"/>
      <c r="AL34" s="127">
        <v>3</v>
      </c>
      <c r="AM34" s="127"/>
      <c r="AN34" s="127" t="e">
        <f>VLOOKUP(AM34,'Opciones Tratamiento'!$M$2:$O$37,3,FALSE)</f>
        <v>#N/A</v>
      </c>
      <c r="AO34" s="132" t="e">
        <f>VLOOKUP(AM34,'Opciones Tratamiento'!$M$2:$O$37,2,FALSE)</f>
        <v>#N/A</v>
      </c>
      <c r="AP34" s="133" t="s">
        <v>466</v>
      </c>
      <c r="AQ34" s="127" t="str">
        <f t="shared" si="26"/>
        <v>Probabilidad</v>
      </c>
      <c r="AR34" s="134" t="s">
        <v>165</v>
      </c>
      <c r="AS34" s="134" t="s">
        <v>173</v>
      </c>
      <c r="AT34" s="135" t="str">
        <f t="shared" si="27"/>
        <v>40%</v>
      </c>
      <c r="AU34" s="134" t="s">
        <v>176</v>
      </c>
      <c r="AV34" s="134" t="s">
        <v>181</v>
      </c>
      <c r="AW34" s="134" t="s">
        <v>185</v>
      </c>
      <c r="AX34" s="136">
        <f t="shared" ref="AX34:AX35" si="32">IFERROR(IF(AND(AQ33="Probabilidad",AQ34="Probabilidad"),(AZ33-(+AZ33*AT34)),IF(AND(AQ33="Impacto",AQ34="Probabilidad"),(AZ32-(+AZ32*AT34)),IF(AQ34="Impacto",AZ33,""))),"")</f>
        <v>0.12959999999999999</v>
      </c>
      <c r="AY34" s="137" t="str">
        <f t="shared" si="28"/>
        <v>Muy Baja</v>
      </c>
      <c r="AZ34" s="135">
        <f t="shared" si="29"/>
        <v>0.12959999999999999</v>
      </c>
      <c r="BA34" s="137" t="str">
        <f t="shared" ca="1" si="30"/>
        <v>Menor</v>
      </c>
      <c r="BB34" s="135">
        <f t="shared" ref="BB34:BB35" ca="1" si="33">IFERROR(IF(AND(AQ33="Impacto",AQ34="Impacto"),(BB33-(+BB33*AT34)),IF(AND(AQ33="Probabilidad",AQ34="Impacto"),(BB32-(+BB32*AT34)),IF(AQ34="Probabilidad",BB33,""))),"")</f>
        <v>0.4</v>
      </c>
      <c r="BC34" s="138" t="str">
        <f t="shared" ca="1" si="31"/>
        <v>Bajo</v>
      </c>
      <c r="BD34" s="134" t="s">
        <v>196</v>
      </c>
      <c r="BE34" s="120"/>
      <c r="BF34" s="127"/>
      <c r="BG34" s="139"/>
      <c r="BH34" s="139"/>
      <c r="BI34" s="120"/>
      <c r="BJ34" s="127"/>
      <c r="BK34" s="24"/>
      <c r="BL34" s="24"/>
      <c r="BM34" s="24"/>
      <c r="BN34" s="24"/>
      <c r="BO34" s="24"/>
      <c r="BP34" s="24"/>
      <c r="BQ34" s="24"/>
      <c r="BR34" s="24"/>
      <c r="BS34" s="24"/>
      <c r="BT34" s="24"/>
      <c r="BU34" s="24"/>
      <c r="BV34" s="24"/>
      <c r="BW34" s="24"/>
      <c r="BX34" s="24"/>
      <c r="BY34" s="24"/>
      <c r="BZ34" s="24"/>
      <c r="CA34" s="24"/>
      <c r="CB34" s="24"/>
      <c r="CC34" s="24"/>
      <c r="CD34" s="24"/>
    </row>
    <row r="35" spans="1:82" ht="106.5" customHeight="1" x14ac:dyDescent="0.3">
      <c r="A35" s="184"/>
      <c r="B35" s="184"/>
      <c r="C35" s="186"/>
      <c r="D35" s="186"/>
      <c r="E35" s="186"/>
      <c r="F35" s="189"/>
      <c r="G35" s="186"/>
      <c r="H35" s="186"/>
      <c r="I35" s="186"/>
      <c r="J35" s="186"/>
      <c r="K35" s="186"/>
      <c r="L35" s="186"/>
      <c r="M35" s="186"/>
      <c r="N35" s="186"/>
      <c r="O35" s="186"/>
      <c r="P35" s="130"/>
      <c r="Q35" s="130"/>
      <c r="R35" s="130"/>
      <c r="S35" s="130"/>
      <c r="T35" s="130"/>
      <c r="U35" s="140"/>
      <c r="V35" s="140"/>
      <c r="W35" s="140"/>
      <c r="X35" s="140"/>
      <c r="Y35" s="140"/>
      <c r="Z35" s="140"/>
      <c r="AA35" s="140"/>
      <c r="AB35" s="140"/>
      <c r="AC35" s="140"/>
      <c r="AD35" s="130"/>
      <c r="AE35" s="130"/>
      <c r="AF35" s="130"/>
      <c r="AG35" s="130"/>
      <c r="AH35" s="130"/>
      <c r="AI35" s="186"/>
      <c r="AJ35" s="186"/>
      <c r="AK35" s="186"/>
      <c r="AL35" s="127">
        <v>4</v>
      </c>
      <c r="AM35" s="127"/>
      <c r="AN35" s="127" t="e">
        <f>VLOOKUP(AM35,'Opciones Tratamiento'!$M$2:$O$37,3,FALSE)</f>
        <v>#N/A</v>
      </c>
      <c r="AO35" s="132" t="e">
        <f>VLOOKUP(AM35,'Opciones Tratamiento'!$M$2:$O$37,2,FALSE)</f>
        <v>#N/A</v>
      </c>
      <c r="AP35" s="133" t="s">
        <v>587</v>
      </c>
      <c r="AQ35" s="127" t="str">
        <f t="shared" si="26"/>
        <v>Impacto</v>
      </c>
      <c r="AR35" s="134" t="s">
        <v>169</v>
      </c>
      <c r="AS35" s="134" t="s">
        <v>173</v>
      </c>
      <c r="AT35" s="135" t="str">
        <f t="shared" si="27"/>
        <v>25%</v>
      </c>
      <c r="AU35" s="134" t="s">
        <v>176</v>
      </c>
      <c r="AV35" s="134" t="s">
        <v>181</v>
      </c>
      <c r="AW35" s="134" t="s">
        <v>185</v>
      </c>
      <c r="AX35" s="136">
        <f t="shared" si="32"/>
        <v>0.12959999999999999</v>
      </c>
      <c r="AY35" s="137" t="str">
        <f t="shared" si="28"/>
        <v>Muy Baja</v>
      </c>
      <c r="AZ35" s="135">
        <f t="shared" si="29"/>
        <v>0.12959999999999999</v>
      </c>
      <c r="BA35" s="137" t="str">
        <f t="shared" ca="1" si="30"/>
        <v>Menor</v>
      </c>
      <c r="BB35" s="135">
        <f t="shared" ca="1" si="33"/>
        <v>0.30000000000000004</v>
      </c>
      <c r="BC35" s="138" t="str">
        <f t="shared" ca="1" si="31"/>
        <v>Bajo</v>
      </c>
      <c r="BD35" s="134" t="s">
        <v>190</v>
      </c>
      <c r="BE35" s="120"/>
      <c r="BF35" s="127"/>
      <c r="BG35" s="139"/>
      <c r="BH35" s="139"/>
      <c r="BI35" s="120"/>
      <c r="BJ35" s="127"/>
      <c r="BK35" s="24"/>
      <c r="BL35" s="24"/>
      <c r="BM35" s="24"/>
      <c r="BN35" s="24"/>
      <c r="BO35" s="24"/>
      <c r="BP35" s="24"/>
      <c r="BQ35" s="24"/>
      <c r="BR35" s="24"/>
      <c r="BS35" s="24"/>
      <c r="BT35" s="24"/>
      <c r="BU35" s="24"/>
      <c r="BV35" s="24"/>
      <c r="BW35" s="24"/>
      <c r="BX35" s="24"/>
      <c r="BY35" s="24"/>
      <c r="BZ35" s="24"/>
      <c r="CA35" s="24"/>
      <c r="CB35" s="24"/>
      <c r="CC35" s="24"/>
      <c r="CD35" s="24"/>
    </row>
    <row r="36" spans="1:82" ht="91.5" customHeight="1" x14ac:dyDescent="0.3">
      <c r="A36" s="183">
        <v>15</v>
      </c>
      <c r="B36" s="183" t="s">
        <v>462</v>
      </c>
      <c r="C36" s="183" t="s">
        <v>193</v>
      </c>
      <c r="D36" s="183" t="s">
        <v>217</v>
      </c>
      <c r="E36" s="183"/>
      <c r="F36" s="183" t="s">
        <v>467</v>
      </c>
      <c r="G36" s="183" t="s">
        <v>468</v>
      </c>
      <c r="H36" s="183" t="str">
        <f>_xlfn.CONCAT("Posibilidad de afectación ",IF(C36='Opciones Tratamiento'!$E$2,"económica",IF(C36='Opciones Tratamiento'!$E$4,"económica y reputacional",LOWER(C36)))," por ",LOWER(F36), ", debido a ",LOWER(G36))</f>
        <v>Posibilidad de afectación reputacional por incumplimiento al plan anual de visitas  de ivc, debido a implementación de políticas de austeridad en el gasto
recurso humano insuficiente para el desarrollo de las visitas ordinarias
eventos que dificulten la realización de visitas presenciales a las ccf</v>
      </c>
      <c r="I36" s="183" t="s">
        <v>201</v>
      </c>
      <c r="J36" s="185" t="s">
        <v>230</v>
      </c>
      <c r="K36" s="185" t="s">
        <v>246</v>
      </c>
      <c r="L36" s="187" t="str">
        <f>IF(OR(K36='Opciones Tratamiento'!$K$14,K36='Opciones Tratamiento'!$K$15,K36='Opciones Tratamiento'!$K$16),"Muy Baja",IF(OR(K36='Opciones Tratamiento'!$K$10,K36='Opciones Tratamiento'!$K$11,K36='Opciones Tratamiento'!$K$12,K36='Opciones Tratamiento'!$K$13),"Baja",IF(OR(K36='Opciones Tratamiento'!$K$4,K36='Opciones Tratamiento'!$K$5,K36='Opciones Tratamiento'!$K$6,K36='Opciones Tratamiento'!$K$7,K36='Opciones Tratamiento'!$K$8,K36='Opciones Tratamiento'!$K$9),"Media",IF(K36='Opciones Tratamiento'!$K$3,"Alta",IF(OR(K36='Opciones Tratamiento'!$K$2,K36='Opciones Tratamiento'!$K$17),"Muy Alta")))))</f>
        <v>Media</v>
      </c>
      <c r="M36" s="188">
        <f>IF(L36="","",IF(L36="Muy Baja",0.2,IF(L36="Baja",0.4,IF(L36="Media",0.6,IF(L36="Alta",0.8,IF(L36="Muy Alta",1,))))))</f>
        <v>0.6</v>
      </c>
      <c r="N36" s="188" t="s">
        <v>151</v>
      </c>
      <c r="O36" s="188" t="str">
        <f ca="1">IF(NOT(ISERROR(MATCH(N36,'Tabla Impacto'!$B$221:$B$223,0))),'Tabla Impacto'!$F$223&amp;"Por favor no seleccionar los criterios de impacto(Afectación Económica o presupuestal y Pérdida Reputacional)",N36)</f>
        <v xml:space="preserve">     El riesgo afecta la imagen de de la entidad con efecto publicitario sostenido a nivel de sector administrativo, nivel departamental o municipal</v>
      </c>
      <c r="P36" s="130"/>
      <c r="Q36" s="130"/>
      <c r="R36" s="130"/>
      <c r="S36" s="130"/>
      <c r="T36" s="130"/>
      <c r="U36" s="140"/>
      <c r="V36" s="140"/>
      <c r="W36" s="140"/>
      <c r="X36" s="140"/>
      <c r="Y36" s="140"/>
      <c r="Z36" s="140"/>
      <c r="AA36" s="140"/>
      <c r="AB36" s="140"/>
      <c r="AC36" s="140"/>
      <c r="AD36" s="130"/>
      <c r="AE36" s="130"/>
      <c r="AF36" s="130"/>
      <c r="AG36" s="130"/>
      <c r="AH36" s="130"/>
      <c r="AI36" s="187" t="str">
        <f ca="1">IF(OR(D36='Opciones Tratamiento'!$H$2,D36='Opciones Tratamiento'!$H$4),IF(OR(O36='Tabla Impacto'!$C$11,O36='Tabla Impacto'!$D$11),"Leve",IF(OR(O36='Tabla Impacto'!$C$12,O36='Tabla Impacto'!$D$12),"Menor",IF(OR(O36='Tabla Impacto'!$C$13,O36='Tabla Impacto'!$D$13),"Moderado",IF(OR(O36='Tabla Impacto'!$C$14,O36='Tabla Impacto'!$D$14),"Mayor",IF(OR(O36='Tabla Impacto'!$C$15,O36='Tabla Impacto'!$D$15),"Catastrófico",""))))),IF(D36='Opciones Tratamiento'!$H$3,IF(COUNTIF('Mapa final'!P36:AH36,"Si")&lt;=5,"Moderado",IF(AND(COUNTIF('Mapa final'!P36:AH36,"Si")&gt;5,COUNTIF('Mapa final'!P36:AH36,"Si")&lt;=10),"Mayor",IF(COUNTIF('Mapa final'!P36:AH36,"Si")&gt;10,"Catastrófico","")))))</f>
        <v>Mayor</v>
      </c>
      <c r="AJ36" s="188">
        <f ca="1">IF(AI36="","",IF(AI36="Leve",0.2,IF(AI36="Menor",0.4,IF(AI36="Moderado",0.6,IF(AI36="Mayor",0.8,IF(AI36="Catastrófico",1,))))))</f>
        <v>0.8</v>
      </c>
      <c r="AK36" s="190" t="str">
        <f ca="1">IF(OR(AND(L36="Muy Baja",AI36="Leve"),AND(L36="Muy Baja",AI36="Menor"),AND(L36="Baja",AI36="Leve")),"Bajo",IF(OR(AND(L36="Muy baja",AI36="Moderado"),AND(L36="Baja",AI36="Menor"),AND(L36="Baja",AI36="Moderado"),AND(L36="Media",AI36="Leve"),AND(L36="Media",AI36="Menor"),AND(L36="Media",AI36="Moderado"),AND(L36="Alta",AI36="Leve"),AND(L36="Alta",AI36="Menor")),"Moderado",IF(OR(AND(L36="Muy Baja",AI36="Mayor"),AND(L36="Baja",AI36="Mayor"),AND(L36="Media",AI36="Mayor"),AND(L36="Alta",AI36="Moderado"),AND(L36="Alta",AI36="Mayor"),AND(L36="Muy Alta",AI36="Leve"),AND(L36="Muy Alta",AI36="Menor"),AND(L36="Muy Alta",AI36="Moderado"),AND(L36="Muy Alta",AI36="Mayor")),"Alto",IF(OR(AND(L36="Muy Baja",AI36="Catastrófico"),AND(L36="Baja",AI36="Catastrófico"),AND(L36="Media",AI36="Catastrófico"),AND(L36="Alta",AI36="Catastrófico"),AND(L36="Muy Alta",AI36="Catastrófico")),"Extremo",""))))</f>
        <v>Alto</v>
      </c>
      <c r="AL36" s="127">
        <v>1</v>
      </c>
      <c r="AM36" s="127"/>
      <c r="AN36" s="127" t="e">
        <f>VLOOKUP(AM36,'Opciones Tratamiento'!$M$2:$O$37,3,FALSE)</f>
        <v>#N/A</v>
      </c>
      <c r="AO36" s="132" t="e">
        <f>VLOOKUP(AM36,'Opciones Tratamiento'!$M$2:$O$37,2,FALSE)</f>
        <v>#N/A</v>
      </c>
      <c r="AP36" s="132" t="s">
        <v>469</v>
      </c>
      <c r="AQ36" s="127" t="str">
        <f t="shared" ref="AQ36:AQ38" si="34">IF(OR(AR36="Preventivo",AR36="Detectivo"),"Probabilidad",IF(AR36="Correctivo","Impacto",""))</f>
        <v>Probabilidad</v>
      </c>
      <c r="AR36" s="134" t="s">
        <v>165</v>
      </c>
      <c r="AS36" s="134" t="s">
        <v>173</v>
      </c>
      <c r="AT36" s="135" t="str">
        <f t="shared" ref="AT36:AT38" si="35">IF(AND(AR36="Preventivo",AS36="Automático"),"50%",IF(AND(AR36="Preventivo",AS36="Manual"),"40%",IF(AND(AR36="Detectivo",AS36="Automático"),"40%",IF(AND(AR36="Detectivo",AS36="Manual"),"30%",IF(AND(AR36="Correctivo",AS36="Automático"),"35%",IF(AND(AR36="Correctivo",AS36="Manual"),"25%",""))))))</f>
        <v>40%</v>
      </c>
      <c r="AU36" s="134" t="s">
        <v>176</v>
      </c>
      <c r="AV36" s="134" t="s">
        <v>181</v>
      </c>
      <c r="AW36" s="134" t="s">
        <v>185</v>
      </c>
      <c r="AX36" s="136">
        <f>IFERROR(IF(AQ36="Probabilidad",(M36-(+M36*AT36)),IF(AQ36="Impacto",M36,"")),"")</f>
        <v>0.36</v>
      </c>
      <c r="AY36" s="137" t="str">
        <f t="shared" ref="AY36:AY38" si="36">IFERROR(IF(AX36="","",IF(AX36&lt;=0.2,"Muy Baja",IF(AX36&lt;=0.4,"Baja",IF(AX36&lt;=0.6,"Media",IF(AX36&lt;=0.8,"Alta","Muy Alta"))))),"")</f>
        <v>Baja</v>
      </c>
      <c r="AZ36" s="135">
        <f t="shared" ref="AZ36:AZ38" si="37">+AX36</f>
        <v>0.36</v>
      </c>
      <c r="BA36" s="137" t="str">
        <f t="shared" ref="BA36:BA38" ca="1" si="38">IFERROR(IF(BB36="","",IF(BB36&lt;=0.2,"Leve",IF(BB36&lt;=0.4,"Menor",IF(BB36&lt;=0.6,"Moderado",IF(BB36&lt;=0.8,"Mayor","Catastrófico"))))),"")</f>
        <v>Mayor</v>
      </c>
      <c r="BB36" s="135">
        <f ca="1">IFERROR(IF(AQ36="Impacto",(AJ36-(+AJ36*AT36)),IF(AQ36="Probabilidad",AJ36,"")),"")</f>
        <v>0.8</v>
      </c>
      <c r="BC36" s="138" t="str">
        <f t="shared" ref="BC36:BC38" ca="1" si="39">IFERROR(IF(OR(AND(AY36="Muy Baja",BA36="Leve"),AND(AY36="Muy Baja",BA36="Menor"),AND(AY36="Baja",BA36="Leve")),"Bajo",IF(OR(AND(AY36="Muy baja",BA36="Moderado"),AND(AY36="Baja",BA36="Menor"),AND(AY36="Baja",BA36="Moderado"),AND(AY36="Media",BA36="Leve"),AND(AY36="Media",BA36="Menor"),AND(AY36="Media",BA36="Moderado"),AND(AY36="Alta",BA36="Leve"),AND(AY36="Alta",BA36="Menor")),"Moderado",IF(OR(AND(AY36="Muy Baja",BA36="Mayor"),AND(AY36="Baja",BA36="Mayor"),AND(AY36="Media",BA36="Mayor"),AND(AY36="Alta",BA36="Moderado"),AND(AY36="Alta",BA36="Mayor"),AND(AY36="Muy Alta",BA36="Leve"),AND(AY36="Muy Alta",BA36="Menor"),AND(AY36="Muy Alta",BA36="Moderado"),AND(AY36="Muy Alta",BA36="Mayor")),"Alto",IF(OR(AND(AY36="Muy Baja",BA36="Catastrófico"),AND(AY36="Baja",BA36="Catastrófico"),AND(AY36="Media",BA36="Catastrófico"),AND(AY36="Alta",BA36="Catastrófico"),AND(AY36="Muy Alta",BA36="Catastrófico")),"Extremo","")))),"")</f>
        <v>Alto</v>
      </c>
      <c r="BD36" s="134" t="s">
        <v>196</v>
      </c>
      <c r="BE36" s="120"/>
      <c r="BF36" s="127"/>
      <c r="BG36" s="139"/>
      <c r="BH36" s="139"/>
      <c r="BI36" s="120"/>
      <c r="BJ36" s="127"/>
      <c r="BK36" s="18"/>
      <c r="BL36" s="18"/>
      <c r="BM36" s="18"/>
      <c r="BN36" s="18"/>
      <c r="BO36" s="18"/>
      <c r="BP36" s="18"/>
      <c r="BQ36" s="18"/>
      <c r="BR36" s="18"/>
      <c r="BS36" s="18"/>
      <c r="BT36" s="18"/>
      <c r="BU36" s="18"/>
      <c r="BV36" s="18"/>
      <c r="BW36" s="18"/>
      <c r="BX36" s="18"/>
      <c r="BY36" s="18"/>
      <c r="BZ36" s="18"/>
      <c r="CA36" s="18"/>
      <c r="CB36" s="18"/>
      <c r="CC36" s="18"/>
      <c r="CD36" s="18"/>
    </row>
    <row r="37" spans="1:82" ht="91.5" customHeight="1" x14ac:dyDescent="0.3">
      <c r="A37" s="184"/>
      <c r="B37" s="184"/>
      <c r="C37" s="186"/>
      <c r="D37" s="186"/>
      <c r="E37" s="186"/>
      <c r="F37" s="186"/>
      <c r="G37" s="186"/>
      <c r="H37" s="186"/>
      <c r="I37" s="186"/>
      <c r="J37" s="186"/>
      <c r="K37" s="186"/>
      <c r="L37" s="186"/>
      <c r="M37" s="186"/>
      <c r="N37" s="186"/>
      <c r="O37" s="186"/>
      <c r="P37" s="130"/>
      <c r="Q37" s="130"/>
      <c r="R37" s="130"/>
      <c r="S37" s="130"/>
      <c r="T37" s="130"/>
      <c r="U37" s="140"/>
      <c r="V37" s="140"/>
      <c r="W37" s="140"/>
      <c r="X37" s="140"/>
      <c r="Y37" s="140"/>
      <c r="Z37" s="140"/>
      <c r="AA37" s="140"/>
      <c r="AB37" s="140"/>
      <c r="AC37" s="140"/>
      <c r="AD37" s="130"/>
      <c r="AE37" s="130"/>
      <c r="AF37" s="130"/>
      <c r="AG37" s="130"/>
      <c r="AH37" s="130"/>
      <c r="AI37" s="186"/>
      <c r="AJ37" s="186"/>
      <c r="AK37" s="186"/>
      <c r="AL37" s="127">
        <v>2</v>
      </c>
      <c r="AM37" s="127"/>
      <c r="AN37" s="127" t="e">
        <f>VLOOKUP(AM37,'Opciones Tratamiento'!$M$2:$O$37,3,FALSE)</f>
        <v>#N/A</v>
      </c>
      <c r="AO37" s="132" t="e">
        <f>VLOOKUP(AM37,'Opciones Tratamiento'!$M$2:$O$37,2,FALSE)</f>
        <v>#N/A</v>
      </c>
      <c r="AP37" s="132" t="s">
        <v>470</v>
      </c>
      <c r="AQ37" s="127" t="str">
        <f t="shared" si="34"/>
        <v>Probabilidad</v>
      </c>
      <c r="AR37" s="134" t="s">
        <v>165</v>
      </c>
      <c r="AS37" s="134" t="s">
        <v>173</v>
      </c>
      <c r="AT37" s="135" t="str">
        <f t="shared" si="35"/>
        <v>40%</v>
      </c>
      <c r="AU37" s="134" t="s">
        <v>176</v>
      </c>
      <c r="AV37" s="134" t="s">
        <v>181</v>
      </c>
      <c r="AW37" s="134" t="s">
        <v>185</v>
      </c>
      <c r="AX37" s="136">
        <f>IFERROR(IF(AND(AQ36="Probabilidad",AQ37="Probabilidad"),(AZ36-(+AZ36*AT37)),IF(AQ37="Probabilidad",(M36-(+M36*AT37)),IF(AQ37="Impacto",AZ36,""))),"")</f>
        <v>0.216</v>
      </c>
      <c r="AY37" s="137" t="str">
        <f t="shared" si="36"/>
        <v>Baja</v>
      </c>
      <c r="AZ37" s="135">
        <f t="shared" si="37"/>
        <v>0.216</v>
      </c>
      <c r="BA37" s="137" t="str">
        <f t="shared" ca="1" si="38"/>
        <v>Mayor</v>
      </c>
      <c r="BB37" s="135">
        <f ca="1">IFERROR(IF(AND(AQ36="Impacto",AQ37="Impacto"),(BB32-(+BB32*AT37)),IF(AQ37="Impacto",($AJ$25-(+$AJ$25*AT37)),IF(AQ37="Probabilidad",BB32,""))),"")</f>
        <v>0.8</v>
      </c>
      <c r="BC37" s="138" t="str">
        <f t="shared" ca="1" si="39"/>
        <v>Alto</v>
      </c>
      <c r="BD37" s="134" t="s">
        <v>196</v>
      </c>
      <c r="BE37" s="120"/>
      <c r="BF37" s="127"/>
      <c r="BG37" s="139"/>
      <c r="BH37" s="139"/>
      <c r="BI37" s="120"/>
      <c r="BJ37" s="127"/>
      <c r="BK37" s="24"/>
      <c r="BL37" s="24"/>
      <c r="BM37" s="24"/>
      <c r="BN37" s="24"/>
      <c r="BO37" s="24"/>
      <c r="BP37" s="24"/>
      <c r="BQ37" s="24"/>
      <c r="BR37" s="24"/>
      <c r="BS37" s="24"/>
      <c r="BT37" s="24"/>
      <c r="BU37" s="24"/>
      <c r="BV37" s="24"/>
      <c r="BW37" s="24"/>
      <c r="BX37" s="24"/>
      <c r="BY37" s="24"/>
      <c r="BZ37" s="24"/>
      <c r="CA37" s="24"/>
      <c r="CB37" s="24"/>
      <c r="CC37" s="24"/>
      <c r="CD37" s="24"/>
    </row>
    <row r="38" spans="1:82" ht="91.5" customHeight="1" x14ac:dyDescent="0.3">
      <c r="A38" s="184"/>
      <c r="B38" s="184"/>
      <c r="C38" s="186"/>
      <c r="D38" s="186"/>
      <c r="E38" s="186"/>
      <c r="F38" s="186"/>
      <c r="G38" s="186"/>
      <c r="H38" s="186"/>
      <c r="I38" s="186"/>
      <c r="J38" s="186"/>
      <c r="K38" s="186"/>
      <c r="L38" s="186"/>
      <c r="M38" s="186"/>
      <c r="N38" s="186"/>
      <c r="O38" s="186"/>
      <c r="P38" s="130"/>
      <c r="Q38" s="130"/>
      <c r="R38" s="130"/>
      <c r="S38" s="130"/>
      <c r="T38" s="130"/>
      <c r="U38" s="140"/>
      <c r="V38" s="140"/>
      <c r="W38" s="140"/>
      <c r="X38" s="140"/>
      <c r="Y38" s="140"/>
      <c r="Z38" s="140"/>
      <c r="AA38" s="140"/>
      <c r="AB38" s="140"/>
      <c r="AC38" s="140"/>
      <c r="AD38" s="130"/>
      <c r="AE38" s="130"/>
      <c r="AF38" s="130"/>
      <c r="AG38" s="130"/>
      <c r="AH38" s="130"/>
      <c r="AI38" s="186"/>
      <c r="AJ38" s="186"/>
      <c r="AK38" s="186"/>
      <c r="AL38" s="127">
        <v>3</v>
      </c>
      <c r="AM38" s="127"/>
      <c r="AN38" s="127" t="e">
        <f>VLOOKUP(AM38,'Opciones Tratamiento'!$M$2:$O$37,3,FALSE)</f>
        <v>#N/A</v>
      </c>
      <c r="AO38" s="132" t="e">
        <f>VLOOKUP(AM38,'Opciones Tratamiento'!$M$2:$O$37,2,FALSE)</f>
        <v>#N/A</v>
      </c>
      <c r="AP38" s="132" t="s">
        <v>471</v>
      </c>
      <c r="AQ38" s="127" t="str">
        <f t="shared" si="34"/>
        <v>Impacto</v>
      </c>
      <c r="AR38" s="134" t="s">
        <v>169</v>
      </c>
      <c r="AS38" s="134" t="s">
        <v>173</v>
      </c>
      <c r="AT38" s="135" t="str">
        <f t="shared" si="35"/>
        <v>25%</v>
      </c>
      <c r="AU38" s="134" t="s">
        <v>176</v>
      </c>
      <c r="AV38" s="134" t="s">
        <v>181</v>
      </c>
      <c r="AW38" s="134" t="s">
        <v>185</v>
      </c>
      <c r="AX38" s="136">
        <f t="shared" ref="AX38" si="40">IFERROR(IF(AND(AQ37="Probabilidad",AQ38="Probabilidad"),(AZ37-(+AZ37*AT38)),IF(AND(AQ37="Impacto",AQ38="Probabilidad"),(AZ36-(+AZ36*AT38)),IF(AQ38="Impacto",AZ37,""))),"")</f>
        <v>0.216</v>
      </c>
      <c r="AY38" s="137" t="str">
        <f t="shared" si="36"/>
        <v>Baja</v>
      </c>
      <c r="AZ38" s="135">
        <f t="shared" si="37"/>
        <v>0.216</v>
      </c>
      <c r="BA38" s="137" t="str">
        <f t="shared" ca="1" si="38"/>
        <v>Moderado</v>
      </c>
      <c r="BB38" s="135">
        <f t="shared" ref="BB38" ca="1" si="41">IFERROR(IF(AND(AQ37="Impacto",AQ38="Impacto"),(BB37-(+BB37*AT38)),IF(AND(AQ37="Probabilidad",AQ38="Impacto"),(BB36-(+BB36*AT38)),IF(AQ38="Probabilidad",BB37,""))),"")</f>
        <v>0.60000000000000009</v>
      </c>
      <c r="BC38" s="138" t="str">
        <f t="shared" ca="1" si="39"/>
        <v>Moderado</v>
      </c>
      <c r="BD38" s="134" t="s">
        <v>190</v>
      </c>
      <c r="BE38" s="120"/>
      <c r="BF38" s="127"/>
      <c r="BG38" s="139"/>
      <c r="BH38" s="139"/>
      <c r="BI38" s="120"/>
      <c r="BJ38" s="127"/>
      <c r="BK38" s="24"/>
      <c r="BL38" s="24"/>
      <c r="BM38" s="24"/>
      <c r="BN38" s="24"/>
      <c r="BO38" s="24"/>
      <c r="BP38" s="24"/>
      <c r="BQ38" s="24"/>
      <c r="BR38" s="24"/>
      <c r="BS38" s="24"/>
      <c r="BT38" s="24"/>
      <c r="BU38" s="24"/>
      <c r="BV38" s="24"/>
      <c r="BW38" s="24"/>
      <c r="BX38" s="24"/>
      <c r="BY38" s="24"/>
      <c r="BZ38" s="24"/>
      <c r="CA38" s="24"/>
      <c r="CB38" s="24"/>
      <c r="CC38" s="24"/>
      <c r="CD38" s="24"/>
    </row>
    <row r="39" spans="1:82" ht="89.1" customHeight="1" x14ac:dyDescent="0.3">
      <c r="A39" s="183">
        <v>16</v>
      </c>
      <c r="B39" s="183" t="s">
        <v>462</v>
      </c>
      <c r="C39" s="183" t="s">
        <v>193</v>
      </c>
      <c r="D39" s="183" t="s">
        <v>217</v>
      </c>
      <c r="E39" s="183"/>
      <c r="F39" s="183" t="s">
        <v>472</v>
      </c>
      <c r="G39" s="183" t="s">
        <v>473</v>
      </c>
      <c r="H39" s="183" t="str">
        <f>_xlfn.CONCAT("Posibilidad de afectación ",IF(C39='Opciones Tratamiento'!$E$2,"económica",IF(C39='Opciones Tratamiento'!$E$4,"económica y reputacional",LOWER(C39)))," por ",LOWER(F39), ", debido a ",LOWER(G39))</f>
        <v>Posibilidad de afectación reputacional por ineficacia en el seguimiento a los planes de mejoramiento producto de las visitas ordinarias, debido a remisión de informes por fuera de los términos establecidos
demora en las revisiones y vistos buenos por parte de los directores y delegado
exceso de carga laboral</v>
      </c>
      <c r="I39" s="183" t="s">
        <v>201</v>
      </c>
      <c r="J39" s="185" t="s">
        <v>231</v>
      </c>
      <c r="K39" s="185" t="s">
        <v>251</v>
      </c>
      <c r="L39" s="187" t="str">
        <f>IF(OR(K39='Opciones Tratamiento'!$K$14,K39='Opciones Tratamiento'!$K$15,K39='Opciones Tratamiento'!$K$16),"Muy Baja",IF(OR(K39='Opciones Tratamiento'!$K$10,K39='Opciones Tratamiento'!$K$11,K39='Opciones Tratamiento'!$K$12,K39='Opciones Tratamiento'!$K$13),"Baja",IF(OR(K39='Opciones Tratamiento'!$K$4,K39='Opciones Tratamiento'!$K$5,K39='Opciones Tratamiento'!$K$6,K39='Opciones Tratamiento'!$K$7,K39='Opciones Tratamiento'!$K$8,K39='Opciones Tratamiento'!$K$9),"Media",IF(K39='Opciones Tratamiento'!$K$3,"Alta",IF(OR(K39='Opciones Tratamiento'!$K$2,K39='Opciones Tratamiento'!$K$17),"Muy Alta")))))</f>
        <v>Baja</v>
      </c>
      <c r="M39" s="188">
        <f>IF(L39="","",IF(L39="Muy Baja",0.2,IF(L39="Baja",0.4,IF(L39="Media",0.6,IF(L39="Alta",0.8,IF(L39="Muy Alta",1,))))))</f>
        <v>0.4</v>
      </c>
      <c r="N39" s="188" t="s">
        <v>149</v>
      </c>
      <c r="O39" s="188" t="str">
        <f ca="1">IF(NOT(ISERROR(MATCH(N39,'Tabla Impacto'!$B$221:$B$223,0))),'Tabla Impacto'!$F$223&amp;"Por favor no seleccionar los criterios de impacto(Afectación Económica o presupuestal y Pérdida Reputacional)",N39)</f>
        <v xml:space="preserve">     El riesgo afecta la imagen de la entidad con algunos usuarios de relevancia frente al logro de los objetivos</v>
      </c>
      <c r="P39" s="130"/>
      <c r="Q39" s="130"/>
      <c r="R39" s="130"/>
      <c r="S39" s="130"/>
      <c r="T39" s="130"/>
      <c r="U39" s="140"/>
      <c r="V39" s="140"/>
      <c r="W39" s="140"/>
      <c r="X39" s="140"/>
      <c r="Y39" s="140"/>
      <c r="Z39" s="140"/>
      <c r="AA39" s="140"/>
      <c r="AB39" s="140"/>
      <c r="AC39" s="140"/>
      <c r="AD39" s="130"/>
      <c r="AE39" s="130"/>
      <c r="AF39" s="130"/>
      <c r="AG39" s="130"/>
      <c r="AH39" s="130"/>
      <c r="AI39" s="187" t="str">
        <f ca="1">IF(OR(D39='Opciones Tratamiento'!$H$2,D39='Opciones Tratamiento'!$H$4),IF(OR(O39='Tabla Impacto'!$C$11,O39='Tabla Impacto'!$D$11),"Leve",IF(OR(O39='Tabla Impacto'!$C$12,O39='Tabla Impacto'!$D$12),"Menor",IF(OR(O39='Tabla Impacto'!$C$13,O39='Tabla Impacto'!$D$13),"Moderado",IF(OR(O39='Tabla Impacto'!$C$14,O39='Tabla Impacto'!$D$14),"Mayor",IF(OR(O39='Tabla Impacto'!$C$15,O39='Tabla Impacto'!$D$15),"Catastrófico",""))))),IF(D39='Opciones Tratamiento'!$H$3,IF(COUNTIF('Mapa final'!P39:AH39,"Si")&lt;=5,"Moderado",IF(AND(COUNTIF('Mapa final'!P39:AH39,"Si")&gt;5,COUNTIF('Mapa final'!P39:AH39,"Si")&lt;=10),"Mayor",IF(COUNTIF('Mapa final'!P39:AH39,"Si")&gt;10,"Catastrófico","")))))</f>
        <v>Moderado</v>
      </c>
      <c r="AJ39" s="188">
        <f ca="1">IF(AI39="","",IF(AI39="Leve",0.2,IF(AI39="Menor",0.4,IF(AI39="Moderado",0.6,IF(AI39="Mayor",0.8,IF(AI39="Catastrófico",1,))))))</f>
        <v>0.6</v>
      </c>
      <c r="AK39" s="190" t="str">
        <f ca="1">IF(OR(AND(L39="Muy Baja",AI39="Leve"),AND(L39="Muy Baja",AI39="Menor"),AND(L39="Baja",AI39="Leve")),"Bajo",IF(OR(AND(L39="Muy baja",AI39="Moderado"),AND(L39="Baja",AI39="Menor"),AND(L39="Baja",AI39="Moderado"),AND(L39="Media",AI39="Leve"),AND(L39="Media",AI39="Menor"),AND(L39="Media",AI39="Moderado"),AND(L39="Alta",AI39="Leve"),AND(L39="Alta",AI39="Menor")),"Moderado",IF(OR(AND(L39="Muy Baja",AI39="Mayor"),AND(L39="Baja",AI39="Mayor"),AND(L39="Media",AI39="Mayor"),AND(L39="Alta",AI39="Moderado"),AND(L39="Alta",AI39="Mayor"),AND(L39="Muy Alta",AI39="Leve"),AND(L39="Muy Alta",AI39="Menor"),AND(L39="Muy Alta",AI39="Moderado"),AND(L39="Muy Alta",AI39="Mayor")),"Alto",IF(OR(AND(L39="Muy Baja",AI39="Catastrófico"),AND(L39="Baja",AI39="Catastrófico"),AND(L39="Media",AI39="Catastrófico"),AND(L39="Alta",AI39="Catastrófico"),AND(L39="Muy Alta",AI39="Catastrófico")),"Extremo",""))))</f>
        <v>Moderado</v>
      </c>
      <c r="AL39" s="127">
        <v>1</v>
      </c>
      <c r="AM39" s="127"/>
      <c r="AN39" s="127" t="e">
        <f>VLOOKUP(AM39,'Opciones Tratamiento'!$M$2:$O$37,3,FALSE)</f>
        <v>#N/A</v>
      </c>
      <c r="AO39" s="132" t="e">
        <f>VLOOKUP(AM39,'Opciones Tratamiento'!$M$2:$O$37,2,FALSE)</f>
        <v>#N/A</v>
      </c>
      <c r="AP39" s="132" t="s">
        <v>588</v>
      </c>
      <c r="AQ39" s="127" t="str">
        <f t="shared" ref="AQ39:AQ40" si="42">IF(OR(AR39="Preventivo",AR39="Detectivo"),"Probabilidad",IF(AR39="Correctivo","Impacto",""))</f>
        <v>Probabilidad</v>
      </c>
      <c r="AR39" s="134" t="s">
        <v>165</v>
      </c>
      <c r="AS39" s="134" t="s">
        <v>173</v>
      </c>
      <c r="AT39" s="135" t="str">
        <f t="shared" ref="AT39:AT40" si="43">IF(AND(AR39="Preventivo",AS39="Automático"),"50%",IF(AND(AR39="Preventivo",AS39="Manual"),"40%",IF(AND(AR39="Detectivo",AS39="Automático"),"40%",IF(AND(AR39="Detectivo",AS39="Manual"),"30%",IF(AND(AR39="Correctivo",AS39="Automático"),"35%",IF(AND(AR39="Correctivo",AS39="Manual"),"25%",""))))))</f>
        <v>40%</v>
      </c>
      <c r="AU39" s="134" t="s">
        <v>176</v>
      </c>
      <c r="AV39" s="134" t="s">
        <v>181</v>
      </c>
      <c r="AW39" s="134" t="s">
        <v>185</v>
      </c>
      <c r="AX39" s="136">
        <f>IFERROR(IF(AQ39="Probabilidad",(M39-(+M39*AT39)),IF(AQ39="Impacto",M39,"")),"")</f>
        <v>0.24</v>
      </c>
      <c r="AY39" s="137" t="str">
        <f t="shared" ref="AY39:AY40" si="44">IFERROR(IF(AX39="","",IF(AX39&lt;=0.2,"Muy Baja",IF(AX39&lt;=0.4,"Baja",IF(AX39&lt;=0.6,"Media",IF(AX39&lt;=0.8,"Alta","Muy Alta"))))),"")</f>
        <v>Baja</v>
      </c>
      <c r="AZ39" s="135">
        <f t="shared" ref="AZ39:AZ40" si="45">+AX39</f>
        <v>0.24</v>
      </c>
      <c r="BA39" s="137" t="str">
        <f t="shared" ref="BA39:BA40" ca="1" si="46">IFERROR(IF(BB39="","",IF(BB39&lt;=0.2,"Leve",IF(BB39&lt;=0.4,"Menor",IF(BB39&lt;=0.6,"Moderado",IF(BB39&lt;=0.8,"Mayor","Catastrófico"))))),"")</f>
        <v>Moderado</v>
      </c>
      <c r="BB39" s="135">
        <f ca="1">IFERROR(IF(AQ39="Impacto",(AJ39-(+AJ39*AT39)),IF(AQ39="Probabilidad",AJ39,"")),"")</f>
        <v>0.6</v>
      </c>
      <c r="BC39" s="138" t="str">
        <f t="shared" ref="BC39:BC40" ca="1" si="47">IFERROR(IF(OR(AND(AY39="Muy Baja",BA39="Leve"),AND(AY39="Muy Baja",BA39="Menor"),AND(AY39="Baja",BA39="Leve")),"Bajo",IF(OR(AND(AY39="Muy baja",BA39="Moderado"),AND(AY39="Baja",BA39="Menor"),AND(AY39="Baja",BA39="Moderado"),AND(AY39="Media",BA39="Leve"),AND(AY39="Media",BA39="Menor"),AND(AY39="Media",BA39="Moderado"),AND(AY39="Alta",BA39="Leve"),AND(AY39="Alta",BA39="Menor")),"Moderado",IF(OR(AND(AY39="Muy Baja",BA39="Mayor"),AND(AY39="Baja",BA39="Mayor"),AND(AY39="Media",BA39="Mayor"),AND(AY39="Alta",BA39="Moderado"),AND(AY39="Alta",BA39="Mayor"),AND(AY39="Muy Alta",BA39="Leve"),AND(AY39="Muy Alta",BA39="Menor"),AND(AY39="Muy Alta",BA39="Moderado"),AND(AY39="Muy Alta",BA39="Mayor")),"Alto",IF(OR(AND(AY39="Muy Baja",BA39="Catastrófico"),AND(AY39="Baja",BA39="Catastrófico"),AND(AY39="Media",BA39="Catastrófico"),AND(AY39="Alta",BA39="Catastrófico"),AND(AY39="Muy Alta",BA39="Catastrófico")),"Extremo","")))),"")</f>
        <v>Moderado</v>
      </c>
      <c r="BD39" s="134" t="s">
        <v>196</v>
      </c>
      <c r="BE39" s="120"/>
      <c r="BF39" s="127"/>
      <c r="BG39" s="139"/>
      <c r="BH39" s="139"/>
      <c r="BI39" s="120"/>
      <c r="BJ39" s="127"/>
      <c r="BK39" s="18"/>
      <c r="BL39" s="18"/>
      <c r="BM39" s="18"/>
      <c r="BN39" s="18"/>
      <c r="BO39" s="18"/>
      <c r="BP39" s="18"/>
      <c r="BQ39" s="18"/>
      <c r="BR39" s="18"/>
      <c r="BS39" s="18"/>
      <c r="BT39" s="18"/>
      <c r="BU39" s="18"/>
      <c r="BV39" s="18"/>
      <c r="BW39" s="18"/>
      <c r="BX39" s="18"/>
      <c r="BY39" s="18"/>
      <c r="BZ39" s="18"/>
      <c r="CA39" s="18"/>
      <c r="CB39" s="18"/>
      <c r="CC39" s="18"/>
      <c r="CD39" s="18"/>
    </row>
    <row r="40" spans="1:82" ht="89.1" customHeight="1" x14ac:dyDescent="0.3">
      <c r="A40" s="184"/>
      <c r="B40" s="184"/>
      <c r="C40" s="186"/>
      <c r="D40" s="186"/>
      <c r="E40" s="186"/>
      <c r="F40" s="186"/>
      <c r="G40" s="186"/>
      <c r="H40" s="186"/>
      <c r="I40" s="186"/>
      <c r="J40" s="186"/>
      <c r="K40" s="186"/>
      <c r="L40" s="186"/>
      <c r="M40" s="186"/>
      <c r="N40" s="186"/>
      <c r="O40" s="186"/>
      <c r="P40" s="130"/>
      <c r="Q40" s="130"/>
      <c r="R40" s="130"/>
      <c r="S40" s="130"/>
      <c r="T40" s="130"/>
      <c r="U40" s="140"/>
      <c r="V40" s="140"/>
      <c r="W40" s="140"/>
      <c r="X40" s="140"/>
      <c r="Y40" s="140"/>
      <c r="Z40" s="140"/>
      <c r="AA40" s="140"/>
      <c r="AB40" s="140"/>
      <c r="AC40" s="140"/>
      <c r="AD40" s="130"/>
      <c r="AE40" s="130"/>
      <c r="AF40" s="130"/>
      <c r="AG40" s="130"/>
      <c r="AH40" s="130"/>
      <c r="AI40" s="186"/>
      <c r="AJ40" s="186"/>
      <c r="AK40" s="186"/>
      <c r="AL40" s="127">
        <v>2</v>
      </c>
      <c r="AM40" s="127"/>
      <c r="AN40" s="127" t="e">
        <f>VLOOKUP(AM40,'Opciones Tratamiento'!$M$2:$O$37,3,FALSE)</f>
        <v>#N/A</v>
      </c>
      <c r="AO40" s="132" t="e">
        <f>VLOOKUP(AM40,'Opciones Tratamiento'!$M$2:$O$37,2,FALSE)</f>
        <v>#N/A</v>
      </c>
      <c r="AP40" s="144" t="s">
        <v>474</v>
      </c>
      <c r="AQ40" s="127" t="str">
        <f t="shared" si="42"/>
        <v>Probabilidad</v>
      </c>
      <c r="AR40" s="134" t="s">
        <v>165</v>
      </c>
      <c r="AS40" s="134" t="s">
        <v>173</v>
      </c>
      <c r="AT40" s="135" t="str">
        <f t="shared" si="43"/>
        <v>40%</v>
      </c>
      <c r="AU40" s="134" t="s">
        <v>176</v>
      </c>
      <c r="AV40" s="134" t="s">
        <v>181</v>
      </c>
      <c r="AW40" s="134" t="s">
        <v>185</v>
      </c>
      <c r="AX40" s="136">
        <f>IFERROR(IF(AND(AQ39="Probabilidad",AQ40="Probabilidad"),(AZ39-(+AZ39*AT40)),IF(AQ40="Probabilidad",(M39-(+M39*AT40)),IF(AQ40="Impacto",AZ39,""))),"")</f>
        <v>0.14399999999999999</v>
      </c>
      <c r="AY40" s="137" t="str">
        <f t="shared" si="44"/>
        <v>Muy Baja</v>
      </c>
      <c r="AZ40" s="135">
        <f t="shared" si="45"/>
        <v>0.14399999999999999</v>
      </c>
      <c r="BA40" s="137" t="str">
        <f t="shared" si="46"/>
        <v>Moderado</v>
      </c>
      <c r="BB40" s="135">
        <v>0.6</v>
      </c>
      <c r="BC40" s="138" t="str">
        <f t="shared" si="47"/>
        <v>Moderado</v>
      </c>
      <c r="BD40" s="134" t="s">
        <v>190</v>
      </c>
      <c r="BE40" s="120"/>
      <c r="BF40" s="127"/>
      <c r="BG40" s="139"/>
      <c r="BH40" s="139"/>
      <c r="BI40" s="120"/>
      <c r="BJ40" s="127"/>
      <c r="BK40" s="24"/>
      <c r="BL40" s="24"/>
      <c r="BM40" s="24"/>
      <c r="BN40" s="24"/>
      <c r="BO40" s="24"/>
      <c r="BP40" s="24"/>
      <c r="BQ40" s="24"/>
      <c r="BR40" s="24"/>
      <c r="BS40" s="24"/>
      <c r="BT40" s="24"/>
      <c r="BU40" s="24"/>
      <c r="BV40" s="24"/>
      <c r="BW40" s="24"/>
      <c r="BX40" s="24"/>
      <c r="BY40" s="24"/>
      <c r="BZ40" s="24"/>
      <c r="CA40" s="24"/>
      <c r="CB40" s="24"/>
      <c r="CC40" s="24"/>
      <c r="CD40" s="24"/>
    </row>
    <row r="41" spans="1:82" ht="77.45" customHeight="1" x14ac:dyDescent="0.3">
      <c r="A41" s="183">
        <v>17</v>
      </c>
      <c r="B41" s="183" t="s">
        <v>404</v>
      </c>
      <c r="C41" s="183" t="s">
        <v>193</v>
      </c>
      <c r="D41" s="183" t="s">
        <v>217</v>
      </c>
      <c r="E41" s="183"/>
      <c r="F41" s="189" t="s">
        <v>475</v>
      </c>
      <c r="G41" s="189" t="s">
        <v>476</v>
      </c>
      <c r="H41" s="183" t="str">
        <f>_xlfn.CONCAT("Posibilidad de afectación ",IF(C41='Opciones Tratamiento'!$E$2,"económica",IF(C41='Opciones Tratamiento'!$E$4,"económica y reputacional",LOWER(C41)))," por ",LOWER(F41), ", debido a ",LOWER(G41))</f>
        <v>Posibilidad de afectación reputacional por emisión de informes de seguimiento sobre programas o proyectos de inversión sin considerar los aspectos sociales y técnicos, debido a omisión en la aplicación de los requisitos de la circular vigente y desconocimiento de la normatividad vigente</v>
      </c>
      <c r="I41" s="183" t="s">
        <v>201</v>
      </c>
      <c r="J41" s="185" t="s">
        <v>231</v>
      </c>
      <c r="K41" s="185" t="s">
        <v>241</v>
      </c>
      <c r="L41" s="187" t="str">
        <f>IF(OR(K41='Opciones Tratamiento'!$K$14,K41='Opciones Tratamiento'!$K$15,K41='Opciones Tratamiento'!$K$16),"Muy Baja",IF(OR(K41='Opciones Tratamiento'!$K$10,K41='Opciones Tratamiento'!$K$11,K41='Opciones Tratamiento'!$K$12,K41='Opciones Tratamiento'!$K$13),"Baja",IF(OR(K41='Opciones Tratamiento'!$K$4,K41='Opciones Tratamiento'!$K$5,K41='Opciones Tratamiento'!$K$6,K41='Opciones Tratamiento'!$K$7,K41='Opciones Tratamiento'!$K$8,K41='Opciones Tratamiento'!$K$9),"Media",IF(K41='Opciones Tratamiento'!$K$3,"Alta",IF(OR(K41='Opciones Tratamiento'!$K$2,K41='Opciones Tratamiento'!$K$17),"Muy Alta")))))</f>
        <v>Media</v>
      </c>
      <c r="M41" s="188">
        <f>IF(L41="","",IF(L41="Muy Baja",0.2,IF(L41="Baja",0.4,IF(L41="Media",0.6,IF(L41="Alta",0.8,IF(L41="Muy Alta",1,))))))</f>
        <v>0.6</v>
      </c>
      <c r="N41" s="188" t="s">
        <v>149</v>
      </c>
      <c r="O41" s="188" t="str">
        <f ca="1">IF(NOT(ISERROR(MATCH(N41,'Tabla Impacto'!$B$221:$B$223,0))),'Tabla Impacto'!$F$223&amp;"Por favor no seleccionar los criterios de impacto(Afectación Económica o presupuestal y Pérdida Reputacional)",N41)</f>
        <v xml:space="preserve">     El riesgo afecta la imagen de la entidad con algunos usuarios de relevancia frente al logro de los objetivos</v>
      </c>
      <c r="P41" s="130"/>
      <c r="Q41" s="130"/>
      <c r="R41" s="130"/>
      <c r="S41" s="130"/>
      <c r="T41" s="130"/>
      <c r="U41" s="140"/>
      <c r="V41" s="140"/>
      <c r="W41" s="140"/>
      <c r="X41" s="140"/>
      <c r="Y41" s="140"/>
      <c r="Z41" s="140"/>
      <c r="AA41" s="140"/>
      <c r="AB41" s="140"/>
      <c r="AC41" s="140"/>
      <c r="AD41" s="130"/>
      <c r="AE41" s="130"/>
      <c r="AF41" s="130"/>
      <c r="AG41" s="130"/>
      <c r="AH41" s="130"/>
      <c r="AI41" s="187" t="str">
        <f ca="1">IF(OR(D41='Opciones Tratamiento'!$H$2,D41='Opciones Tratamiento'!$H$4),IF(OR(O41='Tabla Impacto'!$C$11,O41='Tabla Impacto'!$D$11),"Leve",IF(OR(O41='Tabla Impacto'!$C$12,O41='Tabla Impacto'!$D$12),"Menor",IF(OR(O41='Tabla Impacto'!$C$13,O41='Tabla Impacto'!$D$13),"Moderado",IF(OR(O41='Tabla Impacto'!$C$14,O41='Tabla Impacto'!$D$14),"Mayor",IF(OR(O41='Tabla Impacto'!$C$15,O41='Tabla Impacto'!$D$15),"Catastrófico",""))))),IF(D41='Opciones Tratamiento'!$H$3,IF(COUNTIF('Mapa final'!P41:AH41,"Si")&lt;=5,"Moderado",IF(AND(COUNTIF('Mapa final'!P41:AH41,"Si")&gt;5,COUNTIF('Mapa final'!P41:AH41,"Si")&lt;=10),"Mayor",IF(COUNTIF('Mapa final'!P41:AH41,"Si")&gt;10,"Catastrófico","")))))</f>
        <v>Moderado</v>
      </c>
      <c r="AJ41" s="188">
        <f ca="1">IF(AI41="","",IF(AI41="Leve",0.2,IF(AI41="Menor",0.4,IF(AI41="Moderado",0.6,IF(AI41="Mayor",0.8,IF(AI41="Catastrófico",1,))))))</f>
        <v>0.6</v>
      </c>
      <c r="AK41" s="190" t="str">
        <f ca="1">IF(OR(AND(L41="Muy Baja",AI41="Leve"),AND(L41="Muy Baja",AI41="Menor"),AND(L41="Baja",AI41="Leve")),"Bajo",IF(OR(AND(L41="Muy baja",AI41="Moderado"),AND(L41="Baja",AI41="Menor"),AND(L41="Baja",AI41="Moderado"),AND(L41="Media",AI41="Leve"),AND(L41="Media",AI41="Menor"),AND(L41="Media",AI41="Moderado"),AND(L41="Alta",AI41="Leve"),AND(L41="Alta",AI41="Menor")),"Moderado",IF(OR(AND(L41="Muy Baja",AI41="Mayor"),AND(L41="Baja",AI41="Mayor"),AND(L41="Media",AI41="Mayor"),AND(L41="Alta",AI41="Moderado"),AND(L41="Alta",AI41="Mayor"),AND(L41="Muy Alta",AI41="Leve"),AND(L41="Muy Alta",AI41="Menor"),AND(L41="Muy Alta",AI41="Moderado"),AND(L41="Muy Alta",AI41="Mayor")),"Alto",IF(OR(AND(L41="Muy Baja",AI41="Catastrófico"),AND(L41="Baja",AI41="Catastrófico"),AND(L41="Media",AI41="Catastrófico"),AND(L41="Alta",AI41="Catastrófico"),AND(L41="Muy Alta",AI41="Catastrófico")),"Extremo",""))))</f>
        <v>Moderado</v>
      </c>
      <c r="AL41" s="127">
        <v>1</v>
      </c>
      <c r="AM41" s="127"/>
      <c r="AN41" s="127" t="e">
        <f>VLOOKUP(AM41,'Opciones Tratamiento'!$M$2:$O$37,3,FALSE)</f>
        <v>#N/A</v>
      </c>
      <c r="AO41" s="132" t="e">
        <f>VLOOKUP(AM41,'Opciones Tratamiento'!$M$2:$O$37,2,FALSE)</f>
        <v>#N/A</v>
      </c>
      <c r="AP41" s="133" t="s">
        <v>477</v>
      </c>
      <c r="AQ41" s="127" t="str">
        <f t="shared" ref="AQ41:AQ42" si="48">IF(OR(AR41="Preventivo",AR41="Detectivo"),"Probabilidad",IF(AR41="Correctivo","Impacto",""))</f>
        <v>Probabilidad</v>
      </c>
      <c r="AR41" s="134" t="s">
        <v>165</v>
      </c>
      <c r="AS41" s="134" t="s">
        <v>173</v>
      </c>
      <c r="AT41" s="135" t="str">
        <f t="shared" ref="AT41:AT42" si="49">IF(AND(AR41="Preventivo",AS41="Automático"),"50%",IF(AND(AR41="Preventivo",AS41="Manual"),"40%",IF(AND(AR41="Detectivo",AS41="Automático"),"40%",IF(AND(AR41="Detectivo",AS41="Manual"),"30%",IF(AND(AR41="Correctivo",AS41="Automático"),"35%",IF(AND(AR41="Correctivo",AS41="Manual"),"25%",""))))))</f>
        <v>40%</v>
      </c>
      <c r="AU41" s="134" t="s">
        <v>176</v>
      </c>
      <c r="AV41" s="134" t="s">
        <v>181</v>
      </c>
      <c r="AW41" s="134" t="s">
        <v>185</v>
      </c>
      <c r="AX41" s="136">
        <f>IFERROR(IF(AQ41="Probabilidad",(M41-(+M41*AT41)),IF(AQ41="Impacto",M41,"")),"")</f>
        <v>0.36</v>
      </c>
      <c r="AY41" s="137" t="str">
        <f t="shared" ref="AY41:AY42" si="50">IFERROR(IF(AX41="","",IF(AX41&lt;=0.2,"Muy Baja",IF(AX41&lt;=0.4,"Baja",IF(AX41&lt;=0.6,"Media",IF(AX41&lt;=0.8,"Alta","Muy Alta"))))),"")</f>
        <v>Baja</v>
      </c>
      <c r="AZ41" s="135">
        <f t="shared" ref="AZ41:AZ42" si="51">+AX41</f>
        <v>0.36</v>
      </c>
      <c r="BA41" s="137" t="str">
        <f t="shared" ref="BA41:BA42" ca="1" si="52">IFERROR(IF(BB41="","",IF(BB41&lt;=0.2,"Leve",IF(BB41&lt;=0.4,"Menor",IF(BB41&lt;=0.6,"Moderado",IF(BB41&lt;=0.8,"Mayor","Catastrófico"))))),"")</f>
        <v>Moderado</v>
      </c>
      <c r="BB41" s="135">
        <f ca="1">IFERROR(IF(AQ41="Impacto",(AJ41-(+AJ41*AT41)),IF(AQ41="Probabilidad",AJ41,"")),"")</f>
        <v>0.6</v>
      </c>
      <c r="BC41" s="138" t="str">
        <f t="shared" ref="BC41:BC42" ca="1" si="53">IFERROR(IF(OR(AND(AY41="Muy Baja",BA41="Leve"),AND(AY41="Muy Baja",BA41="Menor"),AND(AY41="Baja",BA41="Leve")),"Bajo",IF(OR(AND(AY41="Muy baja",BA41="Moderado"),AND(AY41="Baja",BA41="Menor"),AND(AY41="Baja",BA41="Moderado"),AND(AY41="Media",BA41="Leve"),AND(AY41="Media",BA41="Menor"),AND(AY41="Media",BA41="Moderado"),AND(AY41="Alta",BA41="Leve"),AND(AY41="Alta",BA41="Menor")),"Moderado",IF(OR(AND(AY41="Muy Baja",BA41="Mayor"),AND(AY41="Baja",BA41="Mayor"),AND(AY41="Media",BA41="Mayor"),AND(AY41="Alta",BA41="Moderado"),AND(AY41="Alta",BA41="Mayor"),AND(AY41="Muy Alta",BA41="Leve"),AND(AY41="Muy Alta",BA41="Menor"),AND(AY41="Muy Alta",BA41="Moderado"),AND(AY41="Muy Alta",BA41="Mayor")),"Alto",IF(OR(AND(AY41="Muy Baja",BA41="Catastrófico"),AND(AY41="Baja",BA41="Catastrófico"),AND(AY41="Media",BA41="Catastrófico"),AND(AY41="Alta",BA41="Catastrófico"),AND(AY41="Muy Alta",BA41="Catastrófico")),"Extremo","")))),"")</f>
        <v>Moderado</v>
      </c>
      <c r="BD41" s="134" t="s">
        <v>196</v>
      </c>
      <c r="BE41" s="120"/>
      <c r="BF41" s="127"/>
      <c r="BG41" s="139"/>
      <c r="BH41" s="139"/>
      <c r="BI41" s="120"/>
      <c r="BJ41" s="127"/>
      <c r="BK41" s="18"/>
      <c r="BL41" s="18"/>
      <c r="BM41" s="18"/>
      <c r="BN41" s="18"/>
      <c r="BO41" s="18"/>
      <c r="BP41" s="18"/>
      <c r="BQ41" s="18"/>
      <c r="BR41" s="18"/>
      <c r="BS41" s="18"/>
      <c r="BT41" s="18"/>
      <c r="BU41" s="18"/>
      <c r="BV41" s="18"/>
      <c r="BW41" s="18"/>
      <c r="BX41" s="18"/>
      <c r="BY41" s="18"/>
      <c r="BZ41" s="18"/>
      <c r="CA41" s="18"/>
      <c r="CB41" s="18"/>
      <c r="CC41" s="18"/>
      <c r="CD41" s="18"/>
    </row>
    <row r="42" spans="1:82" ht="77.45" customHeight="1" x14ac:dyDescent="0.3">
      <c r="A42" s="184"/>
      <c r="B42" s="184"/>
      <c r="C42" s="186"/>
      <c r="D42" s="186"/>
      <c r="E42" s="186"/>
      <c r="F42" s="189"/>
      <c r="G42" s="189"/>
      <c r="H42" s="186"/>
      <c r="I42" s="186"/>
      <c r="J42" s="186"/>
      <c r="K42" s="186"/>
      <c r="L42" s="186"/>
      <c r="M42" s="186"/>
      <c r="N42" s="186"/>
      <c r="O42" s="186"/>
      <c r="P42" s="130"/>
      <c r="Q42" s="130"/>
      <c r="R42" s="130"/>
      <c r="S42" s="130"/>
      <c r="T42" s="130"/>
      <c r="U42" s="140"/>
      <c r="V42" s="140"/>
      <c r="W42" s="140"/>
      <c r="X42" s="140"/>
      <c r="Y42" s="140"/>
      <c r="Z42" s="140"/>
      <c r="AA42" s="140"/>
      <c r="AB42" s="140"/>
      <c r="AC42" s="140"/>
      <c r="AD42" s="130"/>
      <c r="AE42" s="130"/>
      <c r="AF42" s="130"/>
      <c r="AG42" s="130"/>
      <c r="AH42" s="130"/>
      <c r="AI42" s="186"/>
      <c r="AJ42" s="186"/>
      <c r="AK42" s="186"/>
      <c r="AL42" s="127">
        <v>2</v>
      </c>
      <c r="AM42" s="127"/>
      <c r="AN42" s="127" t="e">
        <f>VLOOKUP(AM42,'Opciones Tratamiento'!$M$2:$O$37,3,FALSE)</f>
        <v>#N/A</v>
      </c>
      <c r="AO42" s="132" t="e">
        <f>VLOOKUP(AM42,'Opciones Tratamiento'!$M$2:$O$37,2,FALSE)</f>
        <v>#N/A</v>
      </c>
      <c r="AP42" s="133" t="s">
        <v>478</v>
      </c>
      <c r="AQ42" s="127" t="str">
        <f t="shared" si="48"/>
        <v>Probabilidad</v>
      </c>
      <c r="AR42" s="134" t="s">
        <v>165</v>
      </c>
      <c r="AS42" s="134" t="s">
        <v>173</v>
      </c>
      <c r="AT42" s="135" t="str">
        <f t="shared" si="49"/>
        <v>40%</v>
      </c>
      <c r="AU42" s="134" t="s">
        <v>176</v>
      </c>
      <c r="AV42" s="134" t="s">
        <v>181</v>
      </c>
      <c r="AW42" s="134" t="s">
        <v>185</v>
      </c>
      <c r="AX42" s="136">
        <f>IFERROR(IF(AND(AQ41="Probabilidad",AQ42="Probabilidad"),(AZ41-(+AZ41*AT42)),IF(AQ42="Probabilidad",(M41-(+M41*AT42)),IF(AQ42="Impacto",AZ41,""))),"")</f>
        <v>0.216</v>
      </c>
      <c r="AY42" s="137" t="str">
        <f t="shared" si="50"/>
        <v>Baja</v>
      </c>
      <c r="AZ42" s="135">
        <f t="shared" si="51"/>
        <v>0.216</v>
      </c>
      <c r="BA42" s="137" t="str">
        <f t="shared" ca="1" si="52"/>
        <v>Moderado</v>
      </c>
      <c r="BB42" s="135">
        <f ca="1">IFERROR(IF(AND(AQ41="Impacto",AQ42="Impacto"),(BB39-(+BB39*AT42)),IF(AQ42="Impacto",($AJ$25-(+$AJ$25*AT42)),IF(AQ42="Probabilidad",BB39,""))),"")</f>
        <v>0.6</v>
      </c>
      <c r="BC42" s="138" t="str">
        <f t="shared" ca="1" si="53"/>
        <v>Moderado</v>
      </c>
      <c r="BD42" s="134" t="s">
        <v>190</v>
      </c>
      <c r="BE42" s="120"/>
      <c r="BF42" s="127"/>
      <c r="BG42" s="139"/>
      <c r="BH42" s="139"/>
      <c r="BI42" s="120"/>
      <c r="BJ42" s="127"/>
      <c r="BK42" s="24"/>
      <c r="BL42" s="24"/>
      <c r="BM42" s="24"/>
      <c r="BN42" s="24"/>
      <c r="BO42" s="24"/>
      <c r="BP42" s="24"/>
      <c r="BQ42" s="24"/>
      <c r="BR42" s="24"/>
      <c r="BS42" s="24"/>
      <c r="BT42" s="24"/>
      <c r="BU42" s="24"/>
      <c r="BV42" s="24"/>
      <c r="BW42" s="24"/>
      <c r="BX42" s="24"/>
      <c r="BY42" s="24"/>
      <c r="BZ42" s="24"/>
      <c r="CA42" s="24"/>
      <c r="CB42" s="24"/>
      <c r="CC42" s="24"/>
      <c r="CD42" s="24"/>
    </row>
    <row r="43" spans="1:82" ht="89.45" customHeight="1" x14ac:dyDescent="0.3">
      <c r="A43" s="183">
        <v>18</v>
      </c>
      <c r="B43" s="183" t="s">
        <v>404</v>
      </c>
      <c r="C43" s="183" t="s">
        <v>195</v>
      </c>
      <c r="D43" s="183" t="s">
        <v>217</v>
      </c>
      <c r="E43" s="183"/>
      <c r="F43" s="183" t="s">
        <v>479</v>
      </c>
      <c r="G43" s="183" t="s">
        <v>480</v>
      </c>
      <c r="H43" s="183" t="str">
        <f>_xlfn.CONCAT("Posibilidad de afectación ",IF(C43='Opciones Tratamiento'!$E$2,"económica",IF(C43='Opciones Tratamiento'!$E$4,"económica y reputacional",LOWER(C43)))," por ",LOWER(F43), ", debido a ",LOWER(G43))</f>
        <v>Posibilidad de afectación económica y reputacional por perdida de confiabilidad y pertinencia en los resultados de los estudios especiales, debido a inobservancia a la rigurosidad metodológica y desconocimiento de la normatividad vigente</v>
      </c>
      <c r="I43" s="183" t="s">
        <v>201</v>
      </c>
      <c r="J43" s="185" t="s">
        <v>231</v>
      </c>
      <c r="K43" s="185" t="s">
        <v>252</v>
      </c>
      <c r="L43" s="187" t="str">
        <f>IF(OR(K43='Opciones Tratamiento'!$K$14,K43='Opciones Tratamiento'!$K$15,K43='Opciones Tratamiento'!$K$16),"Muy Baja",IF(OR(K43='Opciones Tratamiento'!$K$10,K43='Opciones Tratamiento'!$K$11,K43='Opciones Tratamiento'!$K$12,K43='Opciones Tratamiento'!$K$13),"Baja",IF(OR(K43='Opciones Tratamiento'!$K$4,K43='Opciones Tratamiento'!$K$5,K43='Opciones Tratamiento'!$K$6,K43='Opciones Tratamiento'!$K$7,K43='Opciones Tratamiento'!$K$8,K43='Opciones Tratamiento'!$K$9),"Media",IF(K43='Opciones Tratamiento'!$K$3,"Alta",IF(OR(K43='Opciones Tratamiento'!$K$2,K43='Opciones Tratamiento'!$K$17),"Muy Alta")))))</f>
        <v>Baja</v>
      </c>
      <c r="M43" s="188">
        <f>IF(L43="","",IF(L43="Muy Baja",0.2,IF(L43="Baja",0.4,IF(L43="Media",0.6,IF(L43="Alta",0.8,IF(L43="Muy Alta",1,))))))</f>
        <v>0.4</v>
      </c>
      <c r="N43" s="188" t="s">
        <v>150</v>
      </c>
      <c r="O43" s="188" t="str">
        <f ca="1">IF(NOT(ISERROR(MATCH(N43,'Tabla Impacto'!$B$221:$B$223,0))),'Tabla Impacto'!$F$223&amp;"Por favor no seleccionar los criterios de impacto(Afectación Económica o presupuestal y Pérdida Reputacional)",N43)</f>
        <v xml:space="preserve">     Entre 100 y 500 SMLMV </v>
      </c>
      <c r="P43" s="130"/>
      <c r="Q43" s="130"/>
      <c r="R43" s="130"/>
      <c r="S43" s="130"/>
      <c r="T43" s="130"/>
      <c r="U43" s="140"/>
      <c r="V43" s="140"/>
      <c r="W43" s="140"/>
      <c r="X43" s="140"/>
      <c r="Y43" s="140"/>
      <c r="Z43" s="140"/>
      <c r="AA43" s="140"/>
      <c r="AB43" s="140"/>
      <c r="AC43" s="140"/>
      <c r="AD43" s="130"/>
      <c r="AE43" s="130"/>
      <c r="AF43" s="130"/>
      <c r="AG43" s="130"/>
      <c r="AH43" s="130"/>
      <c r="AI43" s="187" t="str">
        <f ca="1">IF(OR(D43='Opciones Tratamiento'!$H$2,D43='Opciones Tratamiento'!$H$4),IF(OR(O43='Tabla Impacto'!$C$11,O43='Tabla Impacto'!$D$11),"Leve",IF(OR(O43='Tabla Impacto'!$C$12,O43='Tabla Impacto'!$D$12),"Menor",IF(OR(O43='Tabla Impacto'!$C$13,O43='Tabla Impacto'!$D$13),"Moderado",IF(OR(O43='Tabla Impacto'!$C$14,O43='Tabla Impacto'!$D$14),"Mayor",IF(OR(O43='Tabla Impacto'!$C$15,O43='Tabla Impacto'!$D$15),"Catastrófico",""))))),IF(D43='Opciones Tratamiento'!$H$3,IF(COUNTIF('Mapa final'!P43:AH43,"Si")&lt;=5,"Moderado",IF(AND(COUNTIF('Mapa final'!P43:AH43,"Si")&gt;5,COUNTIF('Mapa final'!P43:AH43,"Si")&lt;=10),"Mayor",IF(COUNTIF('Mapa final'!P43:AH43,"Si")&gt;10,"Catastrófico","")))))</f>
        <v>Mayor</v>
      </c>
      <c r="AJ43" s="188">
        <f ca="1">IF(AI43="","",IF(AI43="Leve",0.2,IF(AI43="Menor",0.4,IF(AI43="Moderado",0.6,IF(AI43="Mayor",0.8,IF(AI43="Catastrófico",1,))))))</f>
        <v>0.8</v>
      </c>
      <c r="AK43" s="190" t="str">
        <f ca="1">IF(OR(AND(L43="Muy Baja",AI43="Leve"),AND(L43="Muy Baja",AI43="Menor"),AND(L43="Baja",AI43="Leve")),"Bajo",IF(OR(AND(L43="Muy baja",AI43="Moderado"),AND(L43="Baja",AI43="Menor"),AND(L43="Baja",AI43="Moderado"),AND(L43="Media",AI43="Leve"),AND(L43="Media",AI43="Menor"),AND(L43="Media",AI43="Moderado"),AND(L43="Alta",AI43="Leve"),AND(L43="Alta",AI43="Menor")),"Moderado",IF(OR(AND(L43="Muy Baja",AI43="Mayor"),AND(L43="Baja",AI43="Mayor"),AND(L43="Media",AI43="Mayor"),AND(L43="Alta",AI43="Moderado"),AND(L43="Alta",AI43="Mayor"),AND(L43="Muy Alta",AI43="Leve"),AND(L43="Muy Alta",AI43="Menor"),AND(L43="Muy Alta",AI43="Moderado"),AND(L43="Muy Alta",AI43="Mayor")),"Alto",IF(OR(AND(L43="Muy Baja",AI43="Catastrófico"),AND(L43="Baja",AI43="Catastrófico"),AND(L43="Media",AI43="Catastrófico"),AND(L43="Alta",AI43="Catastrófico"),AND(L43="Muy Alta",AI43="Catastrófico")),"Extremo",""))))</f>
        <v>Alto</v>
      </c>
      <c r="AL43" s="127">
        <v>1</v>
      </c>
      <c r="AM43" s="127"/>
      <c r="AN43" s="127" t="e">
        <f>VLOOKUP(AM43,'Opciones Tratamiento'!$M$2:$O$37,3,FALSE)</f>
        <v>#N/A</v>
      </c>
      <c r="AO43" s="132" t="e">
        <f>VLOOKUP(AM43,'Opciones Tratamiento'!$M$2:$O$37,2,FALSE)</f>
        <v>#N/A</v>
      </c>
      <c r="AP43" s="132" t="s">
        <v>481</v>
      </c>
      <c r="AQ43" s="127" t="str">
        <f t="shared" ref="AQ43:AQ45" si="54">IF(OR(AR43="Preventivo",AR43="Detectivo"),"Probabilidad",IF(AR43="Correctivo","Impacto",""))</f>
        <v>Probabilidad</v>
      </c>
      <c r="AR43" s="134" t="s">
        <v>165</v>
      </c>
      <c r="AS43" s="134" t="s">
        <v>173</v>
      </c>
      <c r="AT43" s="135" t="str">
        <f t="shared" ref="AT43:AT45" si="55">IF(AND(AR43="Preventivo",AS43="Automático"),"50%",IF(AND(AR43="Preventivo",AS43="Manual"),"40%",IF(AND(AR43="Detectivo",AS43="Automático"),"40%",IF(AND(AR43="Detectivo",AS43="Manual"),"30%",IF(AND(AR43="Correctivo",AS43="Automático"),"35%",IF(AND(AR43="Correctivo",AS43="Manual"),"25%",""))))))</f>
        <v>40%</v>
      </c>
      <c r="AU43" s="134" t="s">
        <v>176</v>
      </c>
      <c r="AV43" s="134" t="s">
        <v>181</v>
      </c>
      <c r="AW43" s="134" t="s">
        <v>185</v>
      </c>
      <c r="AX43" s="136">
        <f>IFERROR(IF(AQ43="Probabilidad",(M43-(+M43*AT43)),IF(AQ43="Impacto",M43,"")),"")</f>
        <v>0.24</v>
      </c>
      <c r="AY43" s="137" t="str">
        <f t="shared" ref="AY43:AY45" si="56">IFERROR(IF(AX43="","",IF(AX43&lt;=0.2,"Muy Baja",IF(AX43&lt;=0.4,"Baja",IF(AX43&lt;=0.6,"Media",IF(AX43&lt;=0.8,"Alta","Muy Alta"))))),"")</f>
        <v>Baja</v>
      </c>
      <c r="AZ43" s="135">
        <f t="shared" ref="AZ43:AZ45" si="57">+AX43</f>
        <v>0.24</v>
      </c>
      <c r="BA43" s="137" t="str">
        <f t="shared" ref="BA43:BA45" ca="1" si="58">IFERROR(IF(BB43="","",IF(BB43&lt;=0.2,"Leve",IF(BB43&lt;=0.4,"Menor",IF(BB43&lt;=0.6,"Moderado",IF(BB43&lt;=0.8,"Mayor","Catastrófico"))))),"")</f>
        <v>Mayor</v>
      </c>
      <c r="BB43" s="135">
        <f ca="1">IFERROR(IF(AQ43="Impacto",(AJ43-(+AJ43*AT43)),IF(AQ43="Probabilidad",AJ43,"")),"")</f>
        <v>0.8</v>
      </c>
      <c r="BC43" s="138" t="str">
        <f t="shared" ref="BC43:BC45" ca="1" si="59">IFERROR(IF(OR(AND(AY43="Muy Baja",BA43="Leve"),AND(AY43="Muy Baja",BA43="Menor"),AND(AY43="Baja",BA43="Leve")),"Bajo",IF(OR(AND(AY43="Muy baja",BA43="Moderado"),AND(AY43="Baja",BA43="Menor"),AND(AY43="Baja",BA43="Moderado"),AND(AY43="Media",BA43="Leve"),AND(AY43="Media",BA43="Menor"),AND(AY43="Media",BA43="Moderado"),AND(AY43="Alta",BA43="Leve"),AND(AY43="Alta",BA43="Menor")),"Moderado",IF(OR(AND(AY43="Muy Baja",BA43="Mayor"),AND(AY43="Baja",BA43="Mayor"),AND(AY43="Media",BA43="Mayor"),AND(AY43="Alta",BA43="Moderado"),AND(AY43="Alta",BA43="Mayor"),AND(AY43="Muy Alta",BA43="Leve"),AND(AY43="Muy Alta",BA43="Menor"),AND(AY43="Muy Alta",BA43="Moderado"),AND(AY43="Muy Alta",BA43="Mayor")),"Alto",IF(OR(AND(AY43="Muy Baja",BA43="Catastrófico"),AND(AY43="Baja",BA43="Catastrófico"),AND(AY43="Media",BA43="Catastrófico"),AND(AY43="Alta",BA43="Catastrófico"),AND(AY43="Muy Alta",BA43="Catastrófico")),"Extremo","")))),"")</f>
        <v>Alto</v>
      </c>
      <c r="BD43" s="134" t="s">
        <v>196</v>
      </c>
      <c r="BE43" s="120"/>
      <c r="BF43" s="127"/>
      <c r="BG43" s="139"/>
      <c r="BH43" s="139"/>
      <c r="BI43" s="120"/>
      <c r="BJ43" s="127"/>
      <c r="BK43" s="18"/>
      <c r="BL43" s="18"/>
      <c r="BM43" s="18"/>
      <c r="BN43" s="18"/>
      <c r="BO43" s="18"/>
      <c r="BP43" s="18"/>
      <c r="BQ43" s="18"/>
      <c r="BR43" s="18"/>
      <c r="BS43" s="18"/>
      <c r="BT43" s="18"/>
      <c r="BU43" s="18"/>
      <c r="BV43" s="18"/>
      <c r="BW43" s="18"/>
      <c r="BX43" s="18"/>
      <c r="BY43" s="18"/>
      <c r="BZ43" s="18"/>
      <c r="CA43" s="18"/>
      <c r="CB43" s="18"/>
      <c r="CC43" s="18"/>
      <c r="CD43" s="18"/>
    </row>
    <row r="44" spans="1:82" ht="89.45" customHeight="1" x14ac:dyDescent="0.3">
      <c r="A44" s="184"/>
      <c r="B44" s="184"/>
      <c r="C44" s="186"/>
      <c r="D44" s="186"/>
      <c r="E44" s="186"/>
      <c r="F44" s="186"/>
      <c r="G44" s="186"/>
      <c r="H44" s="186"/>
      <c r="I44" s="186"/>
      <c r="J44" s="186"/>
      <c r="K44" s="186"/>
      <c r="L44" s="186"/>
      <c r="M44" s="186"/>
      <c r="N44" s="186"/>
      <c r="O44" s="186"/>
      <c r="P44" s="130"/>
      <c r="Q44" s="130"/>
      <c r="R44" s="130"/>
      <c r="S44" s="130"/>
      <c r="T44" s="130"/>
      <c r="U44" s="140"/>
      <c r="V44" s="140"/>
      <c r="W44" s="140"/>
      <c r="X44" s="140"/>
      <c r="Y44" s="140"/>
      <c r="Z44" s="140"/>
      <c r="AA44" s="140"/>
      <c r="AB44" s="140"/>
      <c r="AC44" s="140"/>
      <c r="AD44" s="130"/>
      <c r="AE44" s="130"/>
      <c r="AF44" s="130"/>
      <c r="AG44" s="130"/>
      <c r="AH44" s="130"/>
      <c r="AI44" s="186"/>
      <c r="AJ44" s="186"/>
      <c r="AK44" s="186"/>
      <c r="AL44" s="127">
        <v>2</v>
      </c>
      <c r="AM44" s="127"/>
      <c r="AN44" s="127" t="e">
        <f>VLOOKUP(AM44,'Opciones Tratamiento'!$M$2:$O$37,3,FALSE)</f>
        <v>#N/A</v>
      </c>
      <c r="AO44" s="132" t="e">
        <f>VLOOKUP(AM44,'Opciones Tratamiento'!$M$2:$O$37,2,FALSE)</f>
        <v>#N/A</v>
      </c>
      <c r="AP44" s="132" t="s">
        <v>482</v>
      </c>
      <c r="AQ44" s="127" t="str">
        <f t="shared" si="54"/>
        <v>Probabilidad</v>
      </c>
      <c r="AR44" s="134" t="s">
        <v>165</v>
      </c>
      <c r="AS44" s="134" t="s">
        <v>173</v>
      </c>
      <c r="AT44" s="135" t="str">
        <f t="shared" si="55"/>
        <v>40%</v>
      </c>
      <c r="AU44" s="134" t="s">
        <v>176</v>
      </c>
      <c r="AV44" s="134" t="s">
        <v>181</v>
      </c>
      <c r="AW44" s="134" t="s">
        <v>185</v>
      </c>
      <c r="AX44" s="136">
        <f>IFERROR(IF(AND(AQ43="Probabilidad",AQ44="Probabilidad"),(AZ43-(+AZ43*AT44)),IF(AQ44="Probabilidad",(M43-(+M43*AT44)),IF(AQ44="Impacto",AZ43,""))),"")</f>
        <v>0.14399999999999999</v>
      </c>
      <c r="AY44" s="137" t="str">
        <f t="shared" si="56"/>
        <v>Muy Baja</v>
      </c>
      <c r="AZ44" s="135">
        <f t="shared" si="57"/>
        <v>0.14399999999999999</v>
      </c>
      <c r="BA44" s="137" t="str">
        <f t="shared" ca="1" si="58"/>
        <v>Moderado</v>
      </c>
      <c r="BB44" s="135">
        <f ca="1">IFERROR(IF(AND(AQ43="Impacto",AQ44="Impacto"),(BB41-(+BB41*AT44)),IF(AQ44="Impacto",($AJ$25-(+$AJ$25*AT44)),IF(AQ44="Probabilidad",BB41,""))),"")</f>
        <v>0.6</v>
      </c>
      <c r="BC44" s="138" t="str">
        <f t="shared" ca="1" si="59"/>
        <v>Moderado</v>
      </c>
      <c r="BD44" s="134" t="s">
        <v>196</v>
      </c>
      <c r="BE44" s="120"/>
      <c r="BF44" s="127"/>
      <c r="BG44" s="139"/>
      <c r="BH44" s="139"/>
      <c r="BI44" s="120"/>
      <c r="BJ44" s="127"/>
      <c r="BK44" s="24"/>
      <c r="BL44" s="24"/>
      <c r="BM44" s="24"/>
      <c r="BN44" s="24"/>
      <c r="BO44" s="24"/>
      <c r="BP44" s="24"/>
      <c r="BQ44" s="24"/>
      <c r="BR44" s="24"/>
      <c r="BS44" s="24"/>
      <c r="BT44" s="24"/>
      <c r="BU44" s="24"/>
      <c r="BV44" s="24"/>
      <c r="BW44" s="24"/>
      <c r="BX44" s="24"/>
      <c r="BY44" s="24"/>
      <c r="BZ44" s="24"/>
      <c r="CA44" s="24"/>
      <c r="CB44" s="24"/>
      <c r="CC44" s="24"/>
      <c r="CD44" s="24"/>
    </row>
    <row r="45" spans="1:82" ht="89.45" customHeight="1" x14ac:dyDescent="0.3">
      <c r="A45" s="184"/>
      <c r="B45" s="184"/>
      <c r="C45" s="186"/>
      <c r="D45" s="186"/>
      <c r="E45" s="186"/>
      <c r="F45" s="186"/>
      <c r="G45" s="186"/>
      <c r="H45" s="186"/>
      <c r="I45" s="186"/>
      <c r="J45" s="186"/>
      <c r="K45" s="186"/>
      <c r="L45" s="186"/>
      <c r="M45" s="186"/>
      <c r="N45" s="186"/>
      <c r="O45" s="186"/>
      <c r="P45" s="130"/>
      <c r="Q45" s="130"/>
      <c r="R45" s="130"/>
      <c r="S45" s="130"/>
      <c r="T45" s="130"/>
      <c r="U45" s="140"/>
      <c r="V45" s="140"/>
      <c r="W45" s="140"/>
      <c r="X45" s="140"/>
      <c r="Y45" s="140"/>
      <c r="Z45" s="140"/>
      <c r="AA45" s="140"/>
      <c r="AB45" s="140"/>
      <c r="AC45" s="140"/>
      <c r="AD45" s="130"/>
      <c r="AE45" s="130"/>
      <c r="AF45" s="130"/>
      <c r="AG45" s="130"/>
      <c r="AH45" s="130"/>
      <c r="AI45" s="186"/>
      <c r="AJ45" s="186"/>
      <c r="AK45" s="186"/>
      <c r="AL45" s="127">
        <v>3</v>
      </c>
      <c r="AM45" s="127"/>
      <c r="AN45" s="127" t="e">
        <f>VLOOKUP(AM45,'Opciones Tratamiento'!$M$2:$O$37,3,FALSE)</f>
        <v>#N/A</v>
      </c>
      <c r="AO45" s="132" t="e">
        <f>VLOOKUP(AM45,'Opciones Tratamiento'!$M$2:$O$37,2,FALSE)</f>
        <v>#N/A</v>
      </c>
      <c r="AP45" s="132" t="s">
        <v>589</v>
      </c>
      <c r="AQ45" s="127" t="str">
        <f t="shared" si="54"/>
        <v>Probabilidad</v>
      </c>
      <c r="AR45" s="134" t="s">
        <v>165</v>
      </c>
      <c r="AS45" s="134" t="s">
        <v>173</v>
      </c>
      <c r="AT45" s="135" t="str">
        <f t="shared" si="55"/>
        <v>40%</v>
      </c>
      <c r="AU45" s="134" t="s">
        <v>176</v>
      </c>
      <c r="AV45" s="134" t="s">
        <v>181</v>
      </c>
      <c r="AW45" s="134" t="s">
        <v>185</v>
      </c>
      <c r="AX45" s="136">
        <f t="shared" ref="AX45" si="60">IFERROR(IF(AND(AQ44="Probabilidad",AQ45="Probabilidad"),(AZ44-(+AZ44*AT45)),IF(AND(AQ44="Impacto",AQ45="Probabilidad"),(AZ43-(+AZ43*AT45)),IF(AQ45="Impacto",AZ44,""))),"")</f>
        <v>8.6399999999999991E-2</v>
      </c>
      <c r="AY45" s="137" t="str">
        <f t="shared" si="56"/>
        <v>Muy Baja</v>
      </c>
      <c r="AZ45" s="135">
        <f t="shared" si="57"/>
        <v>8.6399999999999991E-2</v>
      </c>
      <c r="BA45" s="137" t="str">
        <f t="shared" ca="1" si="58"/>
        <v>Moderado</v>
      </c>
      <c r="BB45" s="135">
        <f t="shared" ref="BB45" ca="1" si="61">IFERROR(IF(AND(AQ44="Impacto",AQ45="Impacto"),(BB44-(+BB44*AT45)),IF(AND(AQ44="Probabilidad",AQ45="Impacto"),(BB43-(+BB43*AT45)),IF(AQ45="Probabilidad",BB44,""))),"")</f>
        <v>0.6</v>
      </c>
      <c r="BC45" s="138" t="str">
        <f t="shared" ca="1" si="59"/>
        <v>Moderado</v>
      </c>
      <c r="BD45" s="134" t="s">
        <v>190</v>
      </c>
      <c r="BE45" s="120"/>
      <c r="BF45" s="127"/>
      <c r="BG45" s="139"/>
      <c r="BH45" s="139"/>
      <c r="BI45" s="120"/>
      <c r="BJ45" s="127"/>
      <c r="BK45" s="24"/>
      <c r="BL45" s="24"/>
      <c r="BM45" s="24"/>
      <c r="BN45" s="24"/>
      <c r="BO45" s="24"/>
      <c r="BP45" s="24"/>
      <c r="BQ45" s="24"/>
      <c r="BR45" s="24"/>
      <c r="BS45" s="24"/>
      <c r="BT45" s="24"/>
      <c r="BU45" s="24"/>
      <c r="BV45" s="24"/>
      <c r="BW45" s="24"/>
      <c r="BX45" s="24"/>
      <c r="BY45" s="24"/>
      <c r="BZ45" s="24"/>
      <c r="CA45" s="24"/>
      <c r="CB45" s="24"/>
      <c r="CC45" s="24"/>
      <c r="CD45" s="24"/>
    </row>
    <row r="46" spans="1:82" ht="63.6" customHeight="1" x14ac:dyDescent="0.3">
      <c r="A46" s="183">
        <v>19</v>
      </c>
      <c r="B46" s="183" t="s">
        <v>404</v>
      </c>
      <c r="C46" s="183" t="s">
        <v>195</v>
      </c>
      <c r="D46" s="183" t="s">
        <v>217</v>
      </c>
      <c r="E46" s="183"/>
      <c r="F46" s="183" t="s">
        <v>590</v>
      </c>
      <c r="G46" s="191" t="s">
        <v>483</v>
      </c>
      <c r="H46" s="183" t="str">
        <f>_xlfn.CONCAT("Posibilidad de afectación ",IF(C46='Opciones Tratamiento'!$E$2,"económica",IF(C46='Opciones Tratamiento'!$E$4,"económica y reputacional",LOWER(C46)))," por ",LOWER(F46), ", debido a ",LOWER(G46))</f>
        <v>Posibilidad de afectación económica y reputacional por entrega de informes de visitas especiales incompletos y / o atemporales, debido a insuficiencia  de personal (tr) y debilidades en el seguimiento a los tiempos para la entrega del informe</v>
      </c>
      <c r="I46" s="183" t="s">
        <v>201</v>
      </c>
      <c r="J46" s="185" t="s">
        <v>231</v>
      </c>
      <c r="K46" s="185" t="s">
        <v>247</v>
      </c>
      <c r="L46" s="187" t="str">
        <f>IF(OR(K46='Opciones Tratamiento'!$K$14,K46='Opciones Tratamiento'!$K$15,K46='Opciones Tratamiento'!$K$16),"Muy Baja",IF(OR(K46='Opciones Tratamiento'!$K$10,K46='Opciones Tratamiento'!$K$11,K46='Opciones Tratamiento'!$K$12,K46='Opciones Tratamiento'!$K$13),"Baja",IF(OR(K46='Opciones Tratamiento'!$K$4,K46='Opciones Tratamiento'!$K$5,K46='Opciones Tratamiento'!$K$6,K46='Opciones Tratamiento'!$K$7,K46='Opciones Tratamiento'!$K$8,K46='Opciones Tratamiento'!$K$9),"Media",IF(K46='Opciones Tratamiento'!$K$3,"Alta",IF(OR(K46='Opciones Tratamiento'!$K$2,K46='Opciones Tratamiento'!$K$17),"Muy Alta")))))</f>
        <v>Media</v>
      </c>
      <c r="M46" s="188">
        <f>IF(L46="","",IF(L46="Muy Baja",0.2,IF(L46="Baja",0.4,IF(L46="Media",0.6,IF(L46="Alta",0.8,IF(L46="Muy Alta",1,))))))</f>
        <v>0.6</v>
      </c>
      <c r="N46" s="188" t="s">
        <v>151</v>
      </c>
      <c r="O46" s="188" t="str">
        <f ca="1">IF(NOT(ISERROR(MATCH(N46,'Tabla Impacto'!$B$221:$B$223,0))),'Tabla Impacto'!$F$223&amp;"Por favor no seleccionar los criterios de impacto(Afectación Económica o presupuestal y Pérdida Reputacional)",N46)</f>
        <v xml:space="preserve">     El riesgo afecta la imagen de de la entidad con efecto publicitario sostenido a nivel de sector administrativo, nivel departamental o municipal</v>
      </c>
      <c r="P46" s="130"/>
      <c r="Q46" s="130"/>
      <c r="R46" s="130"/>
      <c r="S46" s="130"/>
      <c r="T46" s="130"/>
      <c r="U46" s="140"/>
      <c r="V46" s="140"/>
      <c r="W46" s="140"/>
      <c r="X46" s="140"/>
      <c r="Y46" s="140"/>
      <c r="Z46" s="140"/>
      <c r="AA46" s="140"/>
      <c r="AB46" s="140"/>
      <c r="AC46" s="140"/>
      <c r="AD46" s="130"/>
      <c r="AE46" s="130"/>
      <c r="AF46" s="130"/>
      <c r="AG46" s="130"/>
      <c r="AH46" s="130"/>
      <c r="AI46" s="187" t="str">
        <f ca="1">IF(OR(D46='Opciones Tratamiento'!$H$2,D46='Opciones Tratamiento'!$H$4),IF(OR(O46='Tabla Impacto'!$C$11,O46='Tabla Impacto'!$D$11),"Leve",IF(OR(O46='Tabla Impacto'!$C$12,O46='Tabla Impacto'!$D$12),"Menor",IF(OR(O46='Tabla Impacto'!$C$13,O46='Tabla Impacto'!$D$13),"Moderado",IF(OR(O46='Tabla Impacto'!$C$14,O46='Tabla Impacto'!$D$14),"Mayor",IF(OR(O46='Tabla Impacto'!$C$15,O46='Tabla Impacto'!$D$15),"Catastrófico",""))))),IF(D46='Opciones Tratamiento'!$H$3,IF(COUNTIF('Mapa final'!P46:AH46,"Si")&lt;=5,"Moderado",IF(AND(COUNTIF('Mapa final'!P46:AH46,"Si")&gt;5,COUNTIF('Mapa final'!P46:AH46,"Si")&lt;=10),"Mayor",IF(COUNTIF('Mapa final'!P46:AH46,"Si")&gt;10,"Catastrófico","")))))</f>
        <v>Mayor</v>
      </c>
      <c r="AJ46" s="188">
        <f ca="1">IF(AI46="","",IF(AI46="Leve",0.2,IF(AI46="Menor",0.4,IF(AI46="Moderado",0.6,IF(AI46="Mayor",0.8,IF(AI46="Catastrófico",1,))))))</f>
        <v>0.8</v>
      </c>
      <c r="AK46" s="190" t="str">
        <f ca="1">IF(OR(AND(L46="Muy Baja",AI46="Leve"),AND(L46="Muy Baja",AI46="Menor"),AND(L46="Baja",AI46="Leve")),"Bajo",IF(OR(AND(L46="Muy baja",AI46="Moderado"),AND(L46="Baja",AI46="Menor"),AND(L46="Baja",AI46="Moderado"),AND(L46="Media",AI46="Leve"),AND(L46="Media",AI46="Menor"),AND(L46="Media",AI46="Moderado"),AND(L46="Alta",AI46="Leve"),AND(L46="Alta",AI46="Menor")),"Moderado",IF(OR(AND(L46="Muy Baja",AI46="Mayor"),AND(L46="Baja",AI46="Mayor"),AND(L46="Media",AI46="Mayor"),AND(L46="Alta",AI46="Moderado"),AND(L46="Alta",AI46="Mayor"),AND(L46="Muy Alta",AI46="Leve"),AND(L46="Muy Alta",AI46="Menor"),AND(L46="Muy Alta",AI46="Moderado"),AND(L46="Muy Alta",AI46="Mayor")),"Alto",IF(OR(AND(L46="Muy Baja",AI46="Catastrófico"),AND(L46="Baja",AI46="Catastrófico"),AND(L46="Media",AI46="Catastrófico"),AND(L46="Alta",AI46="Catastrófico"),AND(L46="Muy Alta",AI46="Catastrófico")),"Extremo",""))))</f>
        <v>Alto</v>
      </c>
      <c r="AL46" s="127">
        <v>1</v>
      </c>
      <c r="AM46" s="127"/>
      <c r="AN46" s="127" t="e">
        <f>VLOOKUP(AM46,'Opciones Tratamiento'!$M$2:$O$37,3,FALSE)</f>
        <v>#N/A</v>
      </c>
      <c r="AO46" s="132" t="e">
        <f>VLOOKUP(AM46,'Opciones Tratamiento'!$M$2:$O$37,2,FALSE)</f>
        <v>#N/A</v>
      </c>
      <c r="AP46" s="132" t="s">
        <v>484</v>
      </c>
      <c r="AQ46" s="127" t="str">
        <f t="shared" ref="AQ46:AQ48" si="62">IF(OR(AR46="Preventivo",AR46="Detectivo"),"Probabilidad",IF(AR46="Correctivo","Impacto",""))</f>
        <v>Probabilidad</v>
      </c>
      <c r="AR46" s="134" t="s">
        <v>165</v>
      </c>
      <c r="AS46" s="134" t="s">
        <v>173</v>
      </c>
      <c r="AT46" s="135" t="str">
        <f t="shared" ref="AT46:AT48" si="63">IF(AND(AR46="Preventivo",AS46="Automático"),"50%",IF(AND(AR46="Preventivo",AS46="Manual"),"40%",IF(AND(AR46="Detectivo",AS46="Automático"),"40%",IF(AND(AR46="Detectivo",AS46="Manual"),"30%",IF(AND(AR46="Correctivo",AS46="Automático"),"35%",IF(AND(AR46="Correctivo",AS46="Manual"),"25%",""))))))</f>
        <v>40%</v>
      </c>
      <c r="AU46" s="134" t="s">
        <v>179</v>
      </c>
      <c r="AV46" s="134" t="s">
        <v>181</v>
      </c>
      <c r="AW46" s="134" t="s">
        <v>185</v>
      </c>
      <c r="AX46" s="136">
        <f>IFERROR(IF(AQ46="Probabilidad",(M46-(+M46*AT46)),IF(AQ46="Impacto",M46,"")),"")</f>
        <v>0.36</v>
      </c>
      <c r="AY46" s="137" t="str">
        <f t="shared" ref="AY46:AY48" si="64">IFERROR(IF(AX46="","",IF(AX46&lt;=0.2,"Muy Baja",IF(AX46&lt;=0.4,"Baja",IF(AX46&lt;=0.6,"Media",IF(AX46&lt;=0.8,"Alta","Muy Alta"))))),"")</f>
        <v>Baja</v>
      </c>
      <c r="AZ46" s="135">
        <f t="shared" ref="AZ46:AZ48" si="65">+AX46</f>
        <v>0.36</v>
      </c>
      <c r="BA46" s="137" t="str">
        <f t="shared" ref="BA46:BA48" ca="1" si="66">IFERROR(IF(BB46="","",IF(BB46&lt;=0.2,"Leve",IF(BB46&lt;=0.4,"Menor",IF(BB46&lt;=0.6,"Moderado",IF(BB46&lt;=0.8,"Mayor","Catastrófico"))))),"")</f>
        <v>Mayor</v>
      </c>
      <c r="BB46" s="135">
        <f ca="1">IFERROR(IF(AQ46="Impacto",(AJ46-(+AJ46*AT46)),IF(AQ46="Probabilidad",AJ46,"")),"")</f>
        <v>0.8</v>
      </c>
      <c r="BC46" s="138" t="str">
        <f t="shared" ref="BC46:BC48" ca="1" si="67">IFERROR(IF(OR(AND(AY46="Muy Baja",BA46="Leve"),AND(AY46="Muy Baja",BA46="Menor"),AND(AY46="Baja",BA46="Leve")),"Bajo",IF(OR(AND(AY46="Muy baja",BA46="Moderado"),AND(AY46="Baja",BA46="Menor"),AND(AY46="Baja",BA46="Moderado"),AND(AY46="Media",BA46="Leve"),AND(AY46="Media",BA46="Menor"),AND(AY46="Media",BA46="Moderado"),AND(AY46="Alta",BA46="Leve"),AND(AY46="Alta",BA46="Menor")),"Moderado",IF(OR(AND(AY46="Muy Baja",BA46="Mayor"),AND(AY46="Baja",BA46="Mayor"),AND(AY46="Media",BA46="Mayor"),AND(AY46="Alta",BA46="Moderado"),AND(AY46="Alta",BA46="Mayor"),AND(AY46="Muy Alta",BA46="Leve"),AND(AY46="Muy Alta",BA46="Menor"),AND(AY46="Muy Alta",BA46="Moderado"),AND(AY46="Muy Alta",BA46="Mayor")),"Alto",IF(OR(AND(AY46="Muy Baja",BA46="Catastrófico"),AND(AY46="Baja",BA46="Catastrófico"),AND(AY46="Media",BA46="Catastrófico"),AND(AY46="Alta",BA46="Catastrófico"),AND(AY46="Muy Alta",BA46="Catastrófico")),"Extremo","")))),"")</f>
        <v>Alto</v>
      </c>
      <c r="BD46" s="134" t="s">
        <v>196</v>
      </c>
      <c r="BE46" s="120"/>
      <c r="BF46" s="127"/>
      <c r="BG46" s="139"/>
      <c r="BH46" s="139"/>
      <c r="BI46" s="120"/>
      <c r="BJ46" s="127"/>
      <c r="BK46" s="18"/>
      <c r="BL46" s="18"/>
      <c r="BM46" s="18"/>
      <c r="BN46" s="18"/>
      <c r="BO46" s="18"/>
      <c r="BP46" s="18"/>
      <c r="BQ46" s="18"/>
      <c r="BR46" s="18"/>
      <c r="BS46" s="18"/>
      <c r="BT46" s="18"/>
      <c r="BU46" s="18"/>
      <c r="BV46" s="18"/>
      <c r="BW46" s="18"/>
      <c r="BX46" s="18"/>
      <c r="BY46" s="18"/>
      <c r="BZ46" s="18"/>
      <c r="CA46" s="18"/>
      <c r="CB46" s="18"/>
      <c r="CC46" s="18"/>
      <c r="CD46" s="18"/>
    </row>
    <row r="47" spans="1:82" ht="63.6" customHeight="1" x14ac:dyDescent="0.3">
      <c r="A47" s="184"/>
      <c r="B47" s="184"/>
      <c r="C47" s="186"/>
      <c r="D47" s="186"/>
      <c r="E47" s="186"/>
      <c r="F47" s="186"/>
      <c r="G47" s="192"/>
      <c r="H47" s="186"/>
      <c r="I47" s="186"/>
      <c r="J47" s="186"/>
      <c r="K47" s="186"/>
      <c r="L47" s="186"/>
      <c r="M47" s="186"/>
      <c r="N47" s="186"/>
      <c r="O47" s="186"/>
      <c r="P47" s="130"/>
      <c r="Q47" s="130"/>
      <c r="R47" s="130"/>
      <c r="S47" s="130"/>
      <c r="T47" s="130"/>
      <c r="U47" s="140"/>
      <c r="V47" s="140"/>
      <c r="W47" s="140"/>
      <c r="X47" s="140"/>
      <c r="Y47" s="140"/>
      <c r="Z47" s="140"/>
      <c r="AA47" s="140"/>
      <c r="AB47" s="140"/>
      <c r="AC47" s="140"/>
      <c r="AD47" s="130"/>
      <c r="AE47" s="130"/>
      <c r="AF47" s="130"/>
      <c r="AG47" s="130"/>
      <c r="AH47" s="130"/>
      <c r="AI47" s="186"/>
      <c r="AJ47" s="186"/>
      <c r="AK47" s="186"/>
      <c r="AL47" s="127">
        <v>2</v>
      </c>
      <c r="AM47" s="127"/>
      <c r="AN47" s="127" t="e">
        <f>VLOOKUP(AM47,'Opciones Tratamiento'!$M$2:$O$37,3,FALSE)</f>
        <v>#N/A</v>
      </c>
      <c r="AO47" s="132" t="e">
        <f>VLOOKUP(AM47,'Opciones Tratamiento'!$M$2:$O$37,2,FALSE)</f>
        <v>#N/A</v>
      </c>
      <c r="AP47" s="132" t="s">
        <v>485</v>
      </c>
      <c r="AQ47" s="127" t="str">
        <f t="shared" si="62"/>
        <v>Probabilidad</v>
      </c>
      <c r="AR47" s="134" t="s">
        <v>167</v>
      </c>
      <c r="AS47" s="134" t="s">
        <v>173</v>
      </c>
      <c r="AT47" s="135" t="str">
        <f t="shared" si="63"/>
        <v>30%</v>
      </c>
      <c r="AU47" s="134" t="s">
        <v>176</v>
      </c>
      <c r="AV47" s="134" t="s">
        <v>181</v>
      </c>
      <c r="AW47" s="134" t="s">
        <v>185</v>
      </c>
      <c r="AX47" s="136">
        <f>IFERROR(IF(AND(AQ46="Probabilidad",AQ47="Probabilidad"),(AZ46-(+AZ46*AT47)),IF(AQ47="Probabilidad",(M46-(+M46*AT47)),IF(AQ47="Impacto",AZ46,""))),"")</f>
        <v>0.252</v>
      </c>
      <c r="AY47" s="137" t="str">
        <f t="shared" si="64"/>
        <v>Baja</v>
      </c>
      <c r="AZ47" s="135">
        <f t="shared" si="65"/>
        <v>0.252</v>
      </c>
      <c r="BA47" s="137" t="str">
        <f t="shared" ca="1" si="66"/>
        <v>Mayor</v>
      </c>
      <c r="BB47" s="135">
        <f ca="1">IFERROR(IF(AND(AQ46="Impacto",AQ47="Impacto"),(BB43-(+BB43*AT47)),IF(AQ47="Impacto",($AJ$25-(+$AJ$25*AT47)),IF(AQ47="Probabilidad",BB43,""))),"")</f>
        <v>0.8</v>
      </c>
      <c r="BC47" s="138" t="str">
        <f t="shared" ca="1" si="67"/>
        <v>Alto</v>
      </c>
      <c r="BD47" s="134" t="s">
        <v>196</v>
      </c>
      <c r="BE47" s="120"/>
      <c r="BF47" s="127"/>
      <c r="BG47" s="139"/>
      <c r="BH47" s="139"/>
      <c r="BI47" s="120"/>
      <c r="BJ47" s="127"/>
      <c r="BK47" s="24"/>
      <c r="BL47" s="24"/>
      <c r="BM47" s="24"/>
      <c r="BN47" s="24"/>
      <c r="BO47" s="24"/>
      <c r="BP47" s="24"/>
      <c r="BQ47" s="24"/>
      <c r="BR47" s="24"/>
      <c r="BS47" s="24"/>
      <c r="BT47" s="24"/>
      <c r="BU47" s="24"/>
      <c r="BV47" s="24"/>
      <c r="BW47" s="24"/>
      <c r="BX47" s="24"/>
      <c r="BY47" s="24"/>
      <c r="BZ47" s="24"/>
      <c r="CA47" s="24"/>
      <c r="CB47" s="24"/>
      <c r="CC47" s="24"/>
      <c r="CD47" s="24"/>
    </row>
    <row r="48" spans="1:82" ht="63.6" customHeight="1" x14ac:dyDescent="0.3">
      <c r="A48" s="184"/>
      <c r="B48" s="184"/>
      <c r="C48" s="186"/>
      <c r="D48" s="186"/>
      <c r="E48" s="186"/>
      <c r="F48" s="186"/>
      <c r="G48" s="192"/>
      <c r="H48" s="186"/>
      <c r="I48" s="186"/>
      <c r="J48" s="186"/>
      <c r="K48" s="186"/>
      <c r="L48" s="186"/>
      <c r="M48" s="186"/>
      <c r="N48" s="186"/>
      <c r="O48" s="186"/>
      <c r="P48" s="130"/>
      <c r="Q48" s="130"/>
      <c r="R48" s="130"/>
      <c r="S48" s="130"/>
      <c r="T48" s="130"/>
      <c r="U48" s="140"/>
      <c r="V48" s="140"/>
      <c r="W48" s="140"/>
      <c r="X48" s="140"/>
      <c r="Y48" s="140"/>
      <c r="Z48" s="140"/>
      <c r="AA48" s="140"/>
      <c r="AB48" s="140"/>
      <c r="AC48" s="140"/>
      <c r="AD48" s="130"/>
      <c r="AE48" s="130"/>
      <c r="AF48" s="130"/>
      <c r="AG48" s="130"/>
      <c r="AH48" s="130"/>
      <c r="AI48" s="186"/>
      <c r="AJ48" s="186"/>
      <c r="AK48" s="186"/>
      <c r="AL48" s="127">
        <v>3</v>
      </c>
      <c r="AM48" s="127"/>
      <c r="AN48" s="127" t="e">
        <f>VLOOKUP(AM48,'Opciones Tratamiento'!$M$2:$O$37,3,FALSE)</f>
        <v>#N/A</v>
      </c>
      <c r="AO48" s="132" t="e">
        <f>VLOOKUP(AM48,'Opciones Tratamiento'!$M$2:$O$37,2,FALSE)</f>
        <v>#N/A</v>
      </c>
      <c r="AP48" s="141" t="s">
        <v>486</v>
      </c>
      <c r="AQ48" s="127" t="str">
        <f t="shared" si="62"/>
        <v>Impacto</v>
      </c>
      <c r="AR48" s="134" t="s">
        <v>169</v>
      </c>
      <c r="AS48" s="134" t="s">
        <v>173</v>
      </c>
      <c r="AT48" s="135" t="str">
        <f t="shared" si="63"/>
        <v>25%</v>
      </c>
      <c r="AU48" s="134" t="s">
        <v>176</v>
      </c>
      <c r="AV48" s="134" t="s">
        <v>181</v>
      </c>
      <c r="AW48" s="134" t="s">
        <v>185</v>
      </c>
      <c r="AX48" s="136">
        <f t="shared" ref="AX48" si="68">IFERROR(IF(AND(AQ47="Probabilidad",AQ48="Probabilidad"),(AZ47-(+AZ47*AT48)),IF(AND(AQ47="Impacto",AQ48="Probabilidad"),(AZ46-(+AZ46*AT48)),IF(AQ48="Impacto",AZ47,""))),"")</f>
        <v>0.252</v>
      </c>
      <c r="AY48" s="137" t="str">
        <f t="shared" si="64"/>
        <v>Baja</v>
      </c>
      <c r="AZ48" s="135">
        <f t="shared" si="65"/>
        <v>0.252</v>
      </c>
      <c r="BA48" s="137" t="str">
        <f t="shared" ca="1" si="66"/>
        <v>Moderado</v>
      </c>
      <c r="BB48" s="135">
        <f t="shared" ref="BB48" ca="1" si="69">IFERROR(IF(AND(AQ47="Impacto",AQ48="Impacto"),(BB47-(+BB47*AT48)),IF(AND(AQ47="Probabilidad",AQ48="Impacto"),(BB46-(+BB46*AT48)),IF(AQ48="Probabilidad",BB47,""))),"")</f>
        <v>0.60000000000000009</v>
      </c>
      <c r="BC48" s="138" t="str">
        <f t="shared" ca="1" si="67"/>
        <v>Moderado</v>
      </c>
      <c r="BD48" s="134" t="s">
        <v>196</v>
      </c>
      <c r="BE48" s="120"/>
      <c r="BF48" s="127"/>
      <c r="BG48" s="139"/>
      <c r="BH48" s="139"/>
      <c r="BI48" s="120"/>
      <c r="BJ48" s="127"/>
      <c r="BK48" s="24"/>
      <c r="BL48" s="24"/>
      <c r="BM48" s="24"/>
      <c r="BN48" s="24"/>
      <c r="BO48" s="24"/>
      <c r="BP48" s="24"/>
      <c r="BQ48" s="24"/>
      <c r="BR48" s="24"/>
      <c r="BS48" s="24"/>
      <c r="BT48" s="24"/>
      <c r="BU48" s="24"/>
      <c r="BV48" s="24"/>
      <c r="BW48" s="24"/>
      <c r="BX48" s="24"/>
      <c r="BY48" s="24"/>
      <c r="BZ48" s="24"/>
      <c r="CA48" s="24"/>
      <c r="CB48" s="24"/>
      <c r="CC48" s="24"/>
      <c r="CD48" s="24"/>
    </row>
    <row r="49" spans="1:82" ht="55.5" customHeight="1" x14ac:dyDescent="0.3">
      <c r="A49" s="183">
        <v>20</v>
      </c>
      <c r="B49" s="183" t="s">
        <v>404</v>
      </c>
      <c r="C49" s="183" t="s">
        <v>193</v>
      </c>
      <c r="D49" s="183" t="s">
        <v>217</v>
      </c>
      <c r="E49" s="183"/>
      <c r="F49" s="183" t="s">
        <v>487</v>
      </c>
      <c r="G49" s="183" t="s">
        <v>488</v>
      </c>
      <c r="H49" s="183" t="str">
        <f>_xlfn.CONCAT("Posibilidad de afectación ",IF(C49='Opciones Tratamiento'!$E$2,"económica",IF(C49='Opciones Tratamiento'!$E$4,"económica y reputacional",LOWER(C49)))," por ",LOWER(F49), ", debido a ",LOWER(G49))</f>
        <v xml:space="preserve">Posibilidad de afectación reputacional por  errores o inconsistencias en los reportes del limite máximo de inversión de las ccf., debido a debilidades en las verificaciones </v>
      </c>
      <c r="I49" s="183" t="s">
        <v>201</v>
      </c>
      <c r="J49" s="185" t="s">
        <v>231</v>
      </c>
      <c r="K49" s="185" t="s">
        <v>243</v>
      </c>
      <c r="L49" s="187" t="str">
        <f>IF(OR(K49='Opciones Tratamiento'!$K$14,K49='Opciones Tratamiento'!$K$15,K49='Opciones Tratamiento'!$K$16),"Muy Baja",IF(OR(K49='Opciones Tratamiento'!$K$10,K49='Opciones Tratamiento'!$K$11,K49='Opciones Tratamiento'!$K$12,K49='Opciones Tratamiento'!$K$13),"Baja",IF(OR(K49='Opciones Tratamiento'!$K$4,K49='Opciones Tratamiento'!$K$5,K49='Opciones Tratamiento'!$K$6,K49='Opciones Tratamiento'!$K$7,K49='Opciones Tratamiento'!$K$8,K49='Opciones Tratamiento'!$K$9),"Media",IF(K49='Opciones Tratamiento'!$K$3,"Alta",IF(OR(K49='Opciones Tratamiento'!$K$2,K49='Opciones Tratamiento'!$K$17),"Muy Alta")))))</f>
        <v>Media</v>
      </c>
      <c r="M49" s="188">
        <f>IF(L49="","",IF(L49="Muy Baja",0.2,IF(L49="Baja",0.4,IF(L49="Media",0.6,IF(L49="Alta",0.8,IF(L49="Muy Alta",1,))))))</f>
        <v>0.6</v>
      </c>
      <c r="N49" s="188" t="s">
        <v>149</v>
      </c>
      <c r="O49" s="188" t="str">
        <f ca="1">IF(NOT(ISERROR(MATCH(N49,'Tabla Impacto'!$B$221:$B$223,0))),'Tabla Impacto'!$F$223&amp;"Por favor no seleccionar los criterios de impacto(Afectación Económica o presupuestal y Pérdida Reputacional)",N49)</f>
        <v xml:space="preserve">     El riesgo afecta la imagen de la entidad con algunos usuarios de relevancia frente al logro de los objetivos</v>
      </c>
      <c r="P49" s="130"/>
      <c r="Q49" s="130"/>
      <c r="R49" s="130"/>
      <c r="S49" s="130"/>
      <c r="T49" s="130"/>
      <c r="U49" s="140"/>
      <c r="V49" s="140"/>
      <c r="W49" s="140"/>
      <c r="X49" s="140"/>
      <c r="Y49" s="140"/>
      <c r="Z49" s="140"/>
      <c r="AA49" s="140"/>
      <c r="AB49" s="140"/>
      <c r="AC49" s="140"/>
      <c r="AD49" s="130"/>
      <c r="AE49" s="130"/>
      <c r="AF49" s="130"/>
      <c r="AG49" s="130"/>
      <c r="AH49" s="130"/>
      <c r="AI49" s="187" t="str">
        <f ca="1">IF(OR(D49='Opciones Tratamiento'!$H$2,D49='Opciones Tratamiento'!$H$4),IF(OR(O49='Tabla Impacto'!$C$11,O49='Tabla Impacto'!$D$11),"Leve",IF(OR(O49='Tabla Impacto'!$C$12,O49='Tabla Impacto'!$D$12),"Menor",IF(OR(O49='Tabla Impacto'!$C$13,O49='Tabla Impacto'!$D$13),"Moderado",IF(OR(O49='Tabla Impacto'!$C$14,O49='Tabla Impacto'!$D$14),"Mayor",IF(OR(O49='Tabla Impacto'!$C$15,O49='Tabla Impacto'!$D$15),"Catastrófico",""))))),IF(D49='Opciones Tratamiento'!$H$3,IF(COUNTIF('Mapa final'!P49:AH49,"Si")&lt;=5,"Moderado",IF(AND(COUNTIF('Mapa final'!P49:AH49,"Si")&gt;5,COUNTIF('Mapa final'!P49:AH49,"Si")&lt;=10),"Mayor",IF(COUNTIF('Mapa final'!P49:AH49,"Si")&gt;10,"Catastrófico","")))))</f>
        <v>Moderado</v>
      </c>
      <c r="AJ49" s="188">
        <f ca="1">IF(AI49="","",IF(AI49="Leve",0.2,IF(AI49="Menor",0.4,IF(AI49="Moderado",0.6,IF(AI49="Mayor",0.8,IF(AI49="Catastrófico",1,))))))</f>
        <v>0.6</v>
      </c>
      <c r="AK49" s="190" t="str">
        <f ca="1">IF(OR(AND(L49="Muy Baja",AI49="Leve"),AND(L49="Muy Baja",AI49="Menor"),AND(L49="Baja",AI49="Leve")),"Bajo",IF(OR(AND(L49="Muy baja",AI49="Moderado"),AND(L49="Baja",AI49="Menor"),AND(L49="Baja",AI49="Moderado"),AND(L49="Media",AI49="Leve"),AND(L49="Media",AI49="Menor"),AND(L49="Media",AI49="Moderado"),AND(L49="Alta",AI49="Leve"),AND(L49="Alta",AI49="Menor")),"Moderado",IF(OR(AND(L49="Muy Baja",AI49="Mayor"),AND(L49="Baja",AI49="Mayor"),AND(L49="Media",AI49="Mayor"),AND(L49="Alta",AI49="Moderado"),AND(L49="Alta",AI49="Mayor"),AND(L49="Muy Alta",AI49="Leve"),AND(L49="Muy Alta",AI49="Menor"),AND(L49="Muy Alta",AI49="Moderado"),AND(L49="Muy Alta",AI49="Mayor")),"Alto",IF(OR(AND(L49="Muy Baja",AI49="Catastrófico"),AND(L49="Baja",AI49="Catastrófico"),AND(L49="Media",AI49="Catastrófico"),AND(L49="Alta",AI49="Catastrófico"),AND(L49="Muy Alta",AI49="Catastrófico")),"Extremo",""))))</f>
        <v>Moderado</v>
      </c>
      <c r="AL49" s="127">
        <v>1</v>
      </c>
      <c r="AM49" s="127"/>
      <c r="AN49" s="127" t="e">
        <f>VLOOKUP(AM49,'Opciones Tratamiento'!$M$2:$O$37,3,FALSE)</f>
        <v>#N/A</v>
      </c>
      <c r="AO49" s="132" t="e">
        <f>VLOOKUP(AM49,'Opciones Tratamiento'!$M$2:$O$37,2,FALSE)</f>
        <v>#N/A</v>
      </c>
      <c r="AP49" s="132" t="s">
        <v>591</v>
      </c>
      <c r="AQ49" s="127" t="str">
        <f t="shared" ref="AQ49:AQ52" si="70">IF(OR(AR49="Preventivo",AR49="Detectivo"),"Probabilidad",IF(AR49="Correctivo","Impacto",""))</f>
        <v>Probabilidad</v>
      </c>
      <c r="AR49" s="134" t="s">
        <v>165</v>
      </c>
      <c r="AS49" s="134" t="s">
        <v>173</v>
      </c>
      <c r="AT49" s="135" t="str">
        <f t="shared" ref="AT49:AT52" si="71">IF(AND(AR49="Preventivo",AS49="Automático"),"50%",IF(AND(AR49="Preventivo",AS49="Manual"),"40%",IF(AND(AR49="Detectivo",AS49="Automático"),"40%",IF(AND(AR49="Detectivo",AS49="Manual"),"30%",IF(AND(AR49="Correctivo",AS49="Automático"),"35%",IF(AND(AR49="Correctivo",AS49="Manual"),"25%",""))))))</f>
        <v>40%</v>
      </c>
      <c r="AU49" s="134" t="s">
        <v>176</v>
      </c>
      <c r="AV49" s="134" t="s">
        <v>181</v>
      </c>
      <c r="AW49" s="134" t="s">
        <v>185</v>
      </c>
      <c r="AX49" s="136">
        <f>IFERROR(IF(AQ49="Probabilidad",(M49-(+M49*AT49)),IF(AQ49="Impacto",M49,"")),"")</f>
        <v>0.36</v>
      </c>
      <c r="AY49" s="137" t="str">
        <f t="shared" ref="AY49:AY52" si="72">IFERROR(IF(AX49="","",IF(AX49&lt;=0.2,"Muy Baja",IF(AX49&lt;=0.4,"Baja",IF(AX49&lt;=0.6,"Media",IF(AX49&lt;=0.8,"Alta","Muy Alta"))))),"")</f>
        <v>Baja</v>
      </c>
      <c r="AZ49" s="135">
        <f t="shared" ref="AZ49:AZ52" si="73">+AX49</f>
        <v>0.36</v>
      </c>
      <c r="BA49" s="137" t="str">
        <f t="shared" ref="BA49:BA52" ca="1" si="74">IFERROR(IF(BB49="","",IF(BB49&lt;=0.2,"Leve",IF(BB49&lt;=0.4,"Menor",IF(BB49&lt;=0.6,"Moderado",IF(BB49&lt;=0.8,"Mayor","Catastrófico"))))),"")</f>
        <v>Moderado</v>
      </c>
      <c r="BB49" s="135">
        <f ca="1">IFERROR(IF(AQ49="Impacto",(AJ49-(+AJ49*AT49)),IF(AQ49="Probabilidad",AJ49,"")),"")</f>
        <v>0.6</v>
      </c>
      <c r="BC49" s="138" t="str">
        <f t="shared" ref="BC49:BC52" ca="1" si="75">IFERROR(IF(OR(AND(AY49="Muy Baja",BA49="Leve"),AND(AY49="Muy Baja",BA49="Menor"),AND(AY49="Baja",BA49="Leve")),"Bajo",IF(OR(AND(AY49="Muy baja",BA49="Moderado"),AND(AY49="Baja",BA49="Menor"),AND(AY49="Baja",BA49="Moderado"),AND(AY49="Media",BA49="Leve"),AND(AY49="Media",BA49="Menor"),AND(AY49="Media",BA49="Moderado"),AND(AY49="Alta",BA49="Leve"),AND(AY49="Alta",BA49="Menor")),"Moderado",IF(OR(AND(AY49="Muy Baja",BA49="Mayor"),AND(AY49="Baja",BA49="Mayor"),AND(AY49="Media",BA49="Mayor"),AND(AY49="Alta",BA49="Moderado"),AND(AY49="Alta",BA49="Mayor"),AND(AY49="Muy Alta",BA49="Leve"),AND(AY49="Muy Alta",BA49="Menor"),AND(AY49="Muy Alta",BA49="Moderado"),AND(AY49="Muy Alta",BA49="Mayor")),"Alto",IF(OR(AND(AY49="Muy Baja",BA49="Catastrófico"),AND(AY49="Baja",BA49="Catastrófico"),AND(AY49="Media",BA49="Catastrófico"),AND(AY49="Alta",BA49="Catastrófico"),AND(AY49="Muy Alta",BA49="Catastrófico")),"Extremo","")))),"")</f>
        <v>Moderado</v>
      </c>
      <c r="BD49" s="134" t="s">
        <v>196</v>
      </c>
      <c r="BE49" s="120"/>
      <c r="BF49" s="127"/>
      <c r="BG49" s="139"/>
      <c r="BH49" s="139"/>
      <c r="BI49" s="120"/>
      <c r="BJ49" s="127"/>
      <c r="BK49" s="18"/>
      <c r="BL49" s="18"/>
      <c r="BM49" s="18"/>
      <c r="BN49" s="18"/>
      <c r="BO49" s="18"/>
      <c r="BP49" s="18"/>
      <c r="BQ49" s="18"/>
      <c r="BR49" s="18"/>
      <c r="BS49" s="18"/>
      <c r="BT49" s="18"/>
      <c r="BU49" s="18"/>
      <c r="BV49" s="18"/>
      <c r="BW49" s="18"/>
      <c r="BX49" s="18"/>
      <c r="BY49" s="18"/>
      <c r="BZ49" s="18"/>
      <c r="CA49" s="18"/>
      <c r="CB49" s="18"/>
      <c r="CC49" s="18"/>
      <c r="CD49" s="18"/>
    </row>
    <row r="50" spans="1:82" ht="55.5" customHeight="1" x14ac:dyDescent="0.3">
      <c r="A50" s="184"/>
      <c r="B50" s="184"/>
      <c r="C50" s="186"/>
      <c r="D50" s="186"/>
      <c r="E50" s="186"/>
      <c r="F50" s="186"/>
      <c r="G50" s="186"/>
      <c r="H50" s="186"/>
      <c r="I50" s="186"/>
      <c r="J50" s="186"/>
      <c r="K50" s="186"/>
      <c r="L50" s="186"/>
      <c r="M50" s="186"/>
      <c r="N50" s="186"/>
      <c r="O50" s="186"/>
      <c r="P50" s="130"/>
      <c r="Q50" s="130"/>
      <c r="R50" s="130"/>
      <c r="S50" s="130"/>
      <c r="T50" s="130"/>
      <c r="U50" s="140"/>
      <c r="V50" s="140"/>
      <c r="W50" s="140"/>
      <c r="X50" s="140"/>
      <c r="Y50" s="140"/>
      <c r="Z50" s="140"/>
      <c r="AA50" s="140"/>
      <c r="AB50" s="140"/>
      <c r="AC50" s="140"/>
      <c r="AD50" s="130"/>
      <c r="AE50" s="130"/>
      <c r="AF50" s="130"/>
      <c r="AG50" s="130"/>
      <c r="AH50" s="130"/>
      <c r="AI50" s="186"/>
      <c r="AJ50" s="186"/>
      <c r="AK50" s="186"/>
      <c r="AL50" s="127">
        <v>2</v>
      </c>
      <c r="AM50" s="127"/>
      <c r="AN50" s="127" t="e">
        <f>VLOOKUP(AM50,'Opciones Tratamiento'!$M$2:$O$37,3,FALSE)</f>
        <v>#N/A</v>
      </c>
      <c r="AO50" s="132" t="e">
        <f>VLOOKUP(AM50,'Opciones Tratamiento'!$M$2:$O$37,2,FALSE)</f>
        <v>#N/A</v>
      </c>
      <c r="AP50" s="132" t="s">
        <v>592</v>
      </c>
      <c r="AQ50" s="127" t="str">
        <f t="shared" si="70"/>
        <v>Impacto</v>
      </c>
      <c r="AR50" s="134" t="s">
        <v>169</v>
      </c>
      <c r="AS50" s="134" t="s">
        <v>173</v>
      </c>
      <c r="AT50" s="135" t="str">
        <f t="shared" si="71"/>
        <v>25%</v>
      </c>
      <c r="AU50" s="134" t="s">
        <v>176</v>
      </c>
      <c r="AV50" s="134" t="s">
        <v>181</v>
      </c>
      <c r="AW50" s="134" t="s">
        <v>185</v>
      </c>
      <c r="AX50" s="136">
        <f>IFERROR(IF(AND(AQ49="Probabilidad",AQ50="Probabilidad"),(AZ49-(+AZ49*AT50)),IF(AQ50="Probabilidad",(M49-(+M49*AT50)),IF(AQ50="Impacto",AZ49,""))),"")</f>
        <v>0.36</v>
      </c>
      <c r="AY50" s="137" t="str">
        <f t="shared" si="72"/>
        <v>Baja</v>
      </c>
      <c r="AZ50" s="135">
        <f t="shared" si="73"/>
        <v>0.36</v>
      </c>
      <c r="BA50" s="137" t="str">
        <f t="shared" ca="1" si="74"/>
        <v>Moderado</v>
      </c>
      <c r="BB50" s="135">
        <f ca="1">IFERROR(IF(AND(AQ49="Impacto",AQ50="Impacto"),(BB46-(+BB46*AT50)),IF(AQ50="Impacto",($AJ$25-(+$AJ$25*AT50)),IF(AQ50="Probabilidad",BB46,""))),"")</f>
        <v>0.44999999999999996</v>
      </c>
      <c r="BC50" s="138" t="str">
        <f t="shared" ca="1" si="75"/>
        <v>Moderado</v>
      </c>
      <c r="BD50" s="134" t="s">
        <v>196</v>
      </c>
      <c r="BE50" s="120"/>
      <c r="BF50" s="127"/>
      <c r="BG50" s="139"/>
      <c r="BH50" s="139"/>
      <c r="BI50" s="120"/>
      <c r="BJ50" s="127"/>
      <c r="BK50" s="24"/>
      <c r="BL50" s="24"/>
      <c r="BM50" s="24"/>
      <c r="BN50" s="24"/>
      <c r="BO50" s="24"/>
      <c r="BP50" s="24"/>
      <c r="BQ50" s="24"/>
      <c r="BR50" s="24"/>
      <c r="BS50" s="24"/>
      <c r="BT50" s="24"/>
      <c r="BU50" s="24"/>
      <c r="BV50" s="24"/>
      <c r="BW50" s="24"/>
      <c r="BX50" s="24"/>
      <c r="BY50" s="24"/>
      <c r="BZ50" s="24"/>
      <c r="CA50" s="24"/>
      <c r="CB50" s="24"/>
      <c r="CC50" s="24"/>
      <c r="CD50" s="24"/>
    </row>
    <row r="51" spans="1:82" ht="55.5" customHeight="1" x14ac:dyDescent="0.3">
      <c r="A51" s="184"/>
      <c r="B51" s="184"/>
      <c r="C51" s="186"/>
      <c r="D51" s="186"/>
      <c r="E51" s="186"/>
      <c r="F51" s="186"/>
      <c r="G51" s="186"/>
      <c r="H51" s="186"/>
      <c r="I51" s="186"/>
      <c r="J51" s="186"/>
      <c r="K51" s="186"/>
      <c r="L51" s="186"/>
      <c r="M51" s="186"/>
      <c r="N51" s="186"/>
      <c r="O51" s="186"/>
      <c r="P51" s="130"/>
      <c r="Q51" s="130"/>
      <c r="R51" s="130"/>
      <c r="S51" s="130"/>
      <c r="T51" s="130"/>
      <c r="U51" s="140"/>
      <c r="V51" s="140"/>
      <c r="W51" s="140"/>
      <c r="X51" s="140"/>
      <c r="Y51" s="140"/>
      <c r="Z51" s="140"/>
      <c r="AA51" s="140"/>
      <c r="AB51" s="140"/>
      <c r="AC51" s="140"/>
      <c r="AD51" s="130"/>
      <c r="AE51" s="130"/>
      <c r="AF51" s="130"/>
      <c r="AG51" s="130"/>
      <c r="AH51" s="130"/>
      <c r="AI51" s="186"/>
      <c r="AJ51" s="186"/>
      <c r="AK51" s="186"/>
      <c r="AL51" s="127">
        <v>3</v>
      </c>
      <c r="AM51" s="127"/>
      <c r="AN51" s="127" t="e">
        <f>VLOOKUP(AM51,'Opciones Tratamiento'!$M$2:$O$37,3,FALSE)</f>
        <v>#N/A</v>
      </c>
      <c r="AO51" s="132" t="e">
        <f>VLOOKUP(AM51,'Opciones Tratamiento'!$M$2:$O$37,2,FALSE)</f>
        <v>#N/A</v>
      </c>
      <c r="AP51" s="132" t="s">
        <v>593</v>
      </c>
      <c r="AQ51" s="127" t="str">
        <f t="shared" si="70"/>
        <v>Impacto</v>
      </c>
      <c r="AR51" s="134" t="s">
        <v>169</v>
      </c>
      <c r="AS51" s="134" t="s">
        <v>173</v>
      </c>
      <c r="AT51" s="135" t="str">
        <f t="shared" si="71"/>
        <v>25%</v>
      </c>
      <c r="AU51" s="134" t="s">
        <v>176</v>
      </c>
      <c r="AV51" s="134" t="s">
        <v>181</v>
      </c>
      <c r="AW51" s="134" t="s">
        <v>185</v>
      </c>
      <c r="AX51" s="136">
        <f t="shared" ref="AX51:AX52" si="76">IFERROR(IF(AND(AQ50="Probabilidad",AQ51="Probabilidad"),(AZ50-(+AZ50*AT51)),IF(AND(AQ50="Impacto",AQ51="Probabilidad"),(AZ49-(+AZ49*AT51)),IF(AQ51="Impacto",AZ50,""))),"")</f>
        <v>0.36</v>
      </c>
      <c r="AY51" s="137" t="str">
        <f t="shared" si="72"/>
        <v>Baja</v>
      </c>
      <c r="AZ51" s="135">
        <f t="shared" si="73"/>
        <v>0.36</v>
      </c>
      <c r="BA51" s="137" t="str">
        <f t="shared" ca="1" si="74"/>
        <v>Menor</v>
      </c>
      <c r="BB51" s="135">
        <f t="shared" ref="BB51:BB52" ca="1" si="77">IFERROR(IF(AND(AQ50="Impacto",AQ51="Impacto"),(BB50-(+BB50*AT51)),IF(AND(AQ50="Probabilidad",AQ51="Impacto"),(BB49-(+BB49*AT51)),IF(AQ51="Probabilidad",BB50,""))),"")</f>
        <v>0.33749999999999997</v>
      </c>
      <c r="BC51" s="138" t="str">
        <f t="shared" ca="1" si="75"/>
        <v>Moderado</v>
      </c>
      <c r="BD51" s="134" t="s">
        <v>196</v>
      </c>
      <c r="BE51" s="120"/>
      <c r="BF51" s="127"/>
      <c r="BG51" s="139"/>
      <c r="BH51" s="139"/>
      <c r="BI51" s="120"/>
      <c r="BJ51" s="127"/>
      <c r="BK51" s="24"/>
      <c r="BL51" s="24"/>
      <c r="BM51" s="24"/>
      <c r="BN51" s="24"/>
      <c r="BO51" s="24"/>
      <c r="BP51" s="24"/>
      <c r="BQ51" s="24"/>
      <c r="BR51" s="24"/>
      <c r="BS51" s="24"/>
      <c r="BT51" s="24"/>
      <c r="BU51" s="24"/>
      <c r="BV51" s="24"/>
      <c r="BW51" s="24"/>
      <c r="BX51" s="24"/>
      <c r="BY51" s="24"/>
      <c r="BZ51" s="24"/>
      <c r="CA51" s="24"/>
      <c r="CB51" s="24"/>
      <c r="CC51" s="24"/>
      <c r="CD51" s="24"/>
    </row>
    <row r="52" spans="1:82" ht="55.5" customHeight="1" x14ac:dyDescent="0.3">
      <c r="A52" s="184"/>
      <c r="B52" s="184"/>
      <c r="C52" s="186"/>
      <c r="D52" s="186"/>
      <c r="E52" s="186"/>
      <c r="F52" s="186"/>
      <c r="G52" s="186"/>
      <c r="H52" s="186"/>
      <c r="I52" s="186"/>
      <c r="J52" s="186"/>
      <c r="K52" s="186"/>
      <c r="L52" s="186"/>
      <c r="M52" s="186"/>
      <c r="N52" s="186"/>
      <c r="O52" s="186"/>
      <c r="P52" s="130"/>
      <c r="Q52" s="130"/>
      <c r="R52" s="130"/>
      <c r="S52" s="130"/>
      <c r="T52" s="130"/>
      <c r="U52" s="140"/>
      <c r="V52" s="140"/>
      <c r="W52" s="140"/>
      <c r="X52" s="140"/>
      <c r="Y52" s="140"/>
      <c r="Z52" s="140"/>
      <c r="AA52" s="140"/>
      <c r="AB52" s="140"/>
      <c r="AC52" s="140"/>
      <c r="AD52" s="130"/>
      <c r="AE52" s="130"/>
      <c r="AF52" s="130"/>
      <c r="AG52" s="130"/>
      <c r="AH52" s="130"/>
      <c r="AI52" s="186"/>
      <c r="AJ52" s="186"/>
      <c r="AK52" s="186"/>
      <c r="AL52" s="127">
        <v>4</v>
      </c>
      <c r="AM52" s="127"/>
      <c r="AN52" s="127" t="e">
        <f>VLOOKUP(AM52,'Opciones Tratamiento'!$M$2:$O$37,3,FALSE)</f>
        <v>#N/A</v>
      </c>
      <c r="AO52" s="132" t="e">
        <f>VLOOKUP(AM52,'Opciones Tratamiento'!$M$2:$O$37,2,FALSE)</f>
        <v>#N/A</v>
      </c>
      <c r="AP52" s="132" t="s">
        <v>594</v>
      </c>
      <c r="AQ52" s="127" t="str">
        <f t="shared" si="70"/>
        <v>Impacto</v>
      </c>
      <c r="AR52" s="134" t="s">
        <v>169</v>
      </c>
      <c r="AS52" s="134" t="s">
        <v>173</v>
      </c>
      <c r="AT52" s="135" t="str">
        <f t="shared" si="71"/>
        <v>25%</v>
      </c>
      <c r="AU52" s="134" t="s">
        <v>176</v>
      </c>
      <c r="AV52" s="134" t="s">
        <v>181</v>
      </c>
      <c r="AW52" s="134" t="s">
        <v>185</v>
      </c>
      <c r="AX52" s="136">
        <f t="shared" si="76"/>
        <v>0.36</v>
      </c>
      <c r="AY52" s="137" t="str">
        <f t="shared" si="72"/>
        <v>Baja</v>
      </c>
      <c r="AZ52" s="135">
        <f t="shared" si="73"/>
        <v>0.36</v>
      </c>
      <c r="BA52" s="137" t="str">
        <f t="shared" ca="1" si="74"/>
        <v>Menor</v>
      </c>
      <c r="BB52" s="135">
        <f t="shared" ca="1" si="77"/>
        <v>0.25312499999999999</v>
      </c>
      <c r="BC52" s="138" t="str">
        <f t="shared" ca="1" si="75"/>
        <v>Moderado</v>
      </c>
      <c r="BD52" s="134" t="s">
        <v>190</v>
      </c>
      <c r="BE52" s="120"/>
      <c r="BF52" s="127"/>
      <c r="BG52" s="139"/>
      <c r="BH52" s="139"/>
      <c r="BI52" s="120"/>
      <c r="BJ52" s="127"/>
      <c r="BK52" s="24"/>
      <c r="BL52" s="24"/>
      <c r="BM52" s="24"/>
      <c r="BN52" s="24"/>
      <c r="BO52" s="24"/>
      <c r="BP52" s="24"/>
      <c r="BQ52" s="24"/>
      <c r="BR52" s="24"/>
      <c r="BS52" s="24"/>
      <c r="BT52" s="24"/>
      <c r="BU52" s="24"/>
      <c r="BV52" s="24"/>
      <c r="BW52" s="24"/>
      <c r="BX52" s="24"/>
      <c r="BY52" s="24"/>
      <c r="BZ52" s="24"/>
      <c r="CA52" s="24"/>
      <c r="CB52" s="24"/>
      <c r="CC52" s="24"/>
      <c r="CD52" s="24"/>
    </row>
    <row r="53" spans="1:82" ht="121.5" customHeight="1" x14ac:dyDescent="0.3">
      <c r="A53" s="183">
        <v>21</v>
      </c>
      <c r="B53" s="183" t="s">
        <v>402</v>
      </c>
      <c r="C53" s="183" t="s">
        <v>193</v>
      </c>
      <c r="D53" s="183" t="s">
        <v>217</v>
      </c>
      <c r="E53" s="183"/>
      <c r="F53" s="189" t="s">
        <v>489</v>
      </c>
      <c r="G53" s="189" t="s">
        <v>595</v>
      </c>
      <c r="H53" s="183" t="str">
        <f>_xlfn.CONCAT("Posibilidad de afectación ",IF(C53='Opciones Tratamiento'!$E$2,"económica",IF(C53='Opciones Tratamiento'!$E$4,"económica y reputacional",LOWER(C53)))," por ",LOWER(F53), ", debido a ",LOWER(G53))</f>
        <v xml:space="preserve">Posibilidad de afectación reputacional por extemporaneidad en el inicio de acciones,  adopción de decisiones y adelantamiento de trámites frente las actuaciones administrativas, debido a insuficiencia de recurso humano o recurso humano que no cumple con el perfil requerido
alta rotación de funcionarios y contratistas
demoras en la sustanciación de actos administrativos e impulso procesal de los trámites asignados.
retraso procesal acumulado
</v>
      </c>
      <c r="I53" s="183" t="s">
        <v>201</v>
      </c>
      <c r="J53" s="185" t="s">
        <v>230</v>
      </c>
      <c r="K53" s="185" t="s">
        <v>241</v>
      </c>
      <c r="L53" s="187" t="str">
        <f>IF(OR(K53='Opciones Tratamiento'!$K$14,K53='Opciones Tratamiento'!$K$15,K53='Opciones Tratamiento'!$K$16),"Muy Baja",IF(OR(K53='Opciones Tratamiento'!$K$10,K53='Opciones Tratamiento'!$K$11,K53='Opciones Tratamiento'!$K$12,K53='Opciones Tratamiento'!$K$13),"Baja",IF(OR(K53='Opciones Tratamiento'!$K$4,K53='Opciones Tratamiento'!$K$5,K53='Opciones Tratamiento'!$K$6,K53='Opciones Tratamiento'!$K$7,K53='Opciones Tratamiento'!$K$8,K53='Opciones Tratamiento'!$K$9),"Media",IF(K53='Opciones Tratamiento'!$K$3,"Alta",IF(OR(K53='Opciones Tratamiento'!$K$2,K53='Opciones Tratamiento'!$K$17),"Muy Alta")))))</f>
        <v>Media</v>
      </c>
      <c r="M53" s="188">
        <f>IF(L53="","",IF(L53="Muy Baja",0.2,IF(L53="Baja",0.4,IF(L53="Media",0.6,IF(L53="Alta",0.8,IF(L53="Muy Alta",1,))))))</f>
        <v>0.6</v>
      </c>
      <c r="N53" s="188" t="s">
        <v>149</v>
      </c>
      <c r="O53" s="188" t="str">
        <f ca="1">IF(NOT(ISERROR(MATCH(N53,'Tabla Impacto'!$B$221:$B$223,0))),'Tabla Impacto'!$F$223&amp;"Por favor no seleccionar los criterios de impacto(Afectación Económica o presupuestal y Pérdida Reputacional)",N53)</f>
        <v xml:space="preserve">     El riesgo afecta la imagen de la entidad con algunos usuarios de relevancia frente al logro de los objetivos</v>
      </c>
      <c r="P53" s="130"/>
      <c r="Q53" s="130"/>
      <c r="R53" s="130"/>
      <c r="S53" s="130"/>
      <c r="T53" s="130"/>
      <c r="U53" s="140"/>
      <c r="V53" s="140"/>
      <c r="W53" s="140"/>
      <c r="X53" s="140"/>
      <c r="Y53" s="140"/>
      <c r="Z53" s="140"/>
      <c r="AA53" s="140"/>
      <c r="AB53" s="140"/>
      <c r="AC53" s="140"/>
      <c r="AD53" s="130"/>
      <c r="AE53" s="130"/>
      <c r="AF53" s="130"/>
      <c r="AG53" s="130"/>
      <c r="AH53" s="130"/>
      <c r="AI53" s="187" t="str">
        <f ca="1">IF(OR(D53='Opciones Tratamiento'!$H$2,D53='Opciones Tratamiento'!$H$4),IF(OR(O53='Tabla Impacto'!$C$11,O53='Tabla Impacto'!$D$11),"Leve",IF(OR(O53='Tabla Impacto'!$C$12,O53='Tabla Impacto'!$D$12),"Menor",IF(OR(O53='Tabla Impacto'!$C$13,O53='Tabla Impacto'!$D$13),"Moderado",IF(OR(O53='Tabla Impacto'!$C$14,O53='Tabla Impacto'!$D$14),"Mayor",IF(OR(O53='Tabla Impacto'!$C$15,O53='Tabla Impacto'!$D$15),"Catastrófico",""))))),IF(D53='Opciones Tratamiento'!$H$3,IF(COUNTIF('Mapa final'!P53:AH53,"Si")&lt;=5,"Moderado",IF(AND(COUNTIF('Mapa final'!P53:AH53,"Si")&gt;5,COUNTIF('Mapa final'!P53:AH53,"Si")&lt;=10),"Mayor",IF(COUNTIF('Mapa final'!P53:AH53,"Si")&gt;10,"Catastrófico","")))))</f>
        <v>Moderado</v>
      </c>
      <c r="AJ53" s="188">
        <f ca="1">IF(AI53="","",IF(AI53="Leve",0.2,IF(AI53="Menor",0.4,IF(AI53="Moderado",0.6,IF(AI53="Mayor",0.8,IF(AI53="Catastrófico",1,))))))</f>
        <v>0.6</v>
      </c>
      <c r="AK53" s="190" t="str">
        <f ca="1">IF(OR(AND(L53="Muy Baja",AI53="Leve"),AND(L53="Muy Baja",AI53="Menor"),AND(L53="Baja",AI53="Leve")),"Bajo",IF(OR(AND(L53="Muy baja",AI53="Moderado"),AND(L53="Baja",AI53="Menor"),AND(L53="Baja",AI53="Moderado"),AND(L53="Media",AI53="Leve"),AND(L53="Media",AI53="Menor"),AND(L53="Media",AI53="Moderado"),AND(L53="Alta",AI53="Leve"),AND(L53="Alta",AI53="Menor")),"Moderado",IF(OR(AND(L53="Muy Baja",AI53="Mayor"),AND(L53="Baja",AI53="Mayor"),AND(L53="Media",AI53="Mayor"),AND(L53="Alta",AI53="Moderado"),AND(L53="Alta",AI53="Mayor"),AND(L53="Muy Alta",AI53="Leve"),AND(L53="Muy Alta",AI53="Menor"),AND(L53="Muy Alta",AI53="Moderado"),AND(L53="Muy Alta",AI53="Mayor")),"Alto",IF(OR(AND(L53="Muy Baja",AI53="Catastrófico"),AND(L53="Baja",AI53="Catastrófico"),AND(L53="Media",AI53="Catastrófico"),AND(L53="Alta",AI53="Catastrófico"),AND(L53="Muy Alta",AI53="Catastrófico")),"Extremo",""))))</f>
        <v>Moderado</v>
      </c>
      <c r="AL53" s="127">
        <v>1</v>
      </c>
      <c r="AM53" s="127"/>
      <c r="AN53" s="127" t="e">
        <f>VLOOKUP(AM53,'Opciones Tratamiento'!$M$2:$O$37,3,FALSE)</f>
        <v>#N/A</v>
      </c>
      <c r="AO53" s="132" t="e">
        <f>VLOOKUP(AM53,'Opciones Tratamiento'!$M$2:$O$37,2,FALSE)</f>
        <v>#N/A</v>
      </c>
      <c r="AP53" s="133" t="s">
        <v>490</v>
      </c>
      <c r="AQ53" s="127" t="str">
        <f t="shared" ref="AQ53:AQ54" si="78">IF(OR(AR53="Preventivo",AR53="Detectivo"),"Probabilidad",IF(AR53="Correctivo","Impacto",""))</f>
        <v>Probabilidad</v>
      </c>
      <c r="AR53" s="134" t="s">
        <v>165</v>
      </c>
      <c r="AS53" s="134" t="s">
        <v>173</v>
      </c>
      <c r="AT53" s="135" t="str">
        <f t="shared" ref="AT53:AT54" si="79">IF(AND(AR53="Preventivo",AS53="Automático"),"50%",IF(AND(AR53="Preventivo",AS53="Manual"),"40%",IF(AND(AR53="Detectivo",AS53="Automático"),"40%",IF(AND(AR53="Detectivo",AS53="Manual"),"30%",IF(AND(AR53="Correctivo",AS53="Automático"),"35%",IF(AND(AR53="Correctivo",AS53="Manual"),"25%",""))))))</f>
        <v>40%</v>
      </c>
      <c r="AU53" s="134" t="s">
        <v>179</v>
      </c>
      <c r="AV53" s="134" t="s">
        <v>183</v>
      </c>
      <c r="AW53" s="134" t="s">
        <v>185</v>
      </c>
      <c r="AX53" s="136">
        <f>IFERROR(IF(AQ53="Probabilidad",(M53-(+M53*AT53)),IF(AQ53="Impacto",M53,"")),"")</f>
        <v>0.36</v>
      </c>
      <c r="AY53" s="137" t="str">
        <f t="shared" ref="AY53:AY54" si="80">IFERROR(IF(AX53="","",IF(AX53&lt;=0.2,"Muy Baja",IF(AX53&lt;=0.4,"Baja",IF(AX53&lt;=0.6,"Media",IF(AX53&lt;=0.8,"Alta","Muy Alta"))))),"")</f>
        <v>Baja</v>
      </c>
      <c r="AZ53" s="135">
        <f t="shared" ref="AZ53:AZ54" si="81">+AX53</f>
        <v>0.36</v>
      </c>
      <c r="BA53" s="137" t="str">
        <f t="shared" ref="BA53:BA54" ca="1" si="82">IFERROR(IF(BB53="","",IF(BB53&lt;=0.2,"Leve",IF(BB53&lt;=0.4,"Menor",IF(BB53&lt;=0.6,"Moderado",IF(BB53&lt;=0.8,"Mayor","Catastrófico"))))),"")</f>
        <v>Moderado</v>
      </c>
      <c r="BB53" s="135">
        <f ca="1">IFERROR(IF(AQ53="Impacto",(AJ53-(+AJ53*AT53)),IF(AQ53="Probabilidad",AJ53,"")),"")</f>
        <v>0.6</v>
      </c>
      <c r="BC53" s="138" t="str">
        <f t="shared" ref="BC53:BC54" ca="1" si="83">IFERROR(IF(OR(AND(AY53="Muy Baja",BA53="Leve"),AND(AY53="Muy Baja",BA53="Menor"),AND(AY53="Baja",BA53="Leve")),"Bajo",IF(OR(AND(AY53="Muy baja",BA53="Moderado"),AND(AY53="Baja",BA53="Menor"),AND(AY53="Baja",BA53="Moderado"),AND(AY53="Media",BA53="Leve"),AND(AY53="Media",BA53="Menor"),AND(AY53="Media",BA53="Moderado"),AND(AY53="Alta",BA53="Leve"),AND(AY53="Alta",BA53="Menor")),"Moderado",IF(OR(AND(AY53="Muy Baja",BA53="Mayor"),AND(AY53="Baja",BA53="Mayor"),AND(AY53="Media",BA53="Mayor"),AND(AY53="Alta",BA53="Moderado"),AND(AY53="Alta",BA53="Mayor"),AND(AY53="Muy Alta",BA53="Leve"),AND(AY53="Muy Alta",BA53="Menor"),AND(AY53="Muy Alta",BA53="Moderado"),AND(AY53="Muy Alta",BA53="Mayor")),"Alto",IF(OR(AND(AY53="Muy Baja",BA53="Catastrófico"),AND(AY53="Baja",BA53="Catastrófico"),AND(AY53="Media",BA53="Catastrófico"),AND(AY53="Alta",BA53="Catastrófico"),AND(AY53="Muy Alta",BA53="Catastrófico")),"Extremo","")))),"")</f>
        <v>Moderado</v>
      </c>
      <c r="BD53" s="134" t="s">
        <v>196</v>
      </c>
      <c r="BE53" s="120" t="s">
        <v>492</v>
      </c>
      <c r="BF53" s="120" t="s">
        <v>596</v>
      </c>
      <c r="BG53" s="139">
        <v>45184</v>
      </c>
      <c r="BH53" s="139">
        <v>45214</v>
      </c>
      <c r="BI53" s="120"/>
      <c r="BJ53" s="127"/>
      <c r="BK53" s="18"/>
      <c r="BL53" s="18"/>
      <c r="BM53" s="18"/>
      <c r="BN53" s="18"/>
      <c r="BO53" s="18"/>
      <c r="BP53" s="18"/>
      <c r="BQ53" s="18"/>
      <c r="BR53" s="18"/>
      <c r="BS53" s="18"/>
      <c r="BT53" s="18"/>
      <c r="BU53" s="18"/>
      <c r="BV53" s="18"/>
      <c r="BW53" s="18"/>
      <c r="BX53" s="18"/>
      <c r="BY53" s="18"/>
      <c r="BZ53" s="18"/>
      <c r="CA53" s="18"/>
      <c r="CB53" s="18"/>
      <c r="CC53" s="18"/>
      <c r="CD53" s="18"/>
    </row>
    <row r="54" spans="1:82" ht="121.5" customHeight="1" x14ac:dyDescent="0.3">
      <c r="A54" s="184"/>
      <c r="B54" s="184"/>
      <c r="C54" s="186"/>
      <c r="D54" s="186"/>
      <c r="E54" s="186"/>
      <c r="F54" s="189"/>
      <c r="G54" s="189"/>
      <c r="H54" s="186"/>
      <c r="I54" s="186"/>
      <c r="J54" s="186"/>
      <c r="K54" s="186"/>
      <c r="L54" s="186"/>
      <c r="M54" s="186"/>
      <c r="N54" s="186"/>
      <c r="O54" s="186"/>
      <c r="P54" s="130"/>
      <c r="Q54" s="130"/>
      <c r="R54" s="130"/>
      <c r="S54" s="130"/>
      <c r="T54" s="130"/>
      <c r="U54" s="140"/>
      <c r="V54" s="140"/>
      <c r="W54" s="140"/>
      <c r="X54" s="140"/>
      <c r="Y54" s="140"/>
      <c r="Z54" s="140"/>
      <c r="AA54" s="140"/>
      <c r="AB54" s="140"/>
      <c r="AC54" s="140"/>
      <c r="AD54" s="130"/>
      <c r="AE54" s="130"/>
      <c r="AF54" s="130"/>
      <c r="AG54" s="130"/>
      <c r="AH54" s="130"/>
      <c r="AI54" s="186"/>
      <c r="AJ54" s="186"/>
      <c r="AK54" s="186"/>
      <c r="AL54" s="127">
        <v>2</v>
      </c>
      <c r="AM54" s="127"/>
      <c r="AN54" s="127" t="e">
        <f>VLOOKUP(AM54,'Opciones Tratamiento'!$M$2:$O$37,3,FALSE)</f>
        <v>#N/A</v>
      </c>
      <c r="AO54" s="132" t="e">
        <f>VLOOKUP(AM54,'Opciones Tratamiento'!$M$2:$O$37,2,FALSE)</f>
        <v>#N/A</v>
      </c>
      <c r="AP54" s="133" t="s">
        <v>491</v>
      </c>
      <c r="AQ54" s="127" t="str">
        <f t="shared" si="78"/>
        <v>Probabilidad</v>
      </c>
      <c r="AR54" s="134" t="s">
        <v>165</v>
      </c>
      <c r="AS54" s="134" t="s">
        <v>173</v>
      </c>
      <c r="AT54" s="135" t="str">
        <f t="shared" si="79"/>
        <v>40%</v>
      </c>
      <c r="AU54" s="134" t="s">
        <v>179</v>
      </c>
      <c r="AV54" s="134" t="s">
        <v>181</v>
      </c>
      <c r="AW54" s="134" t="s">
        <v>185</v>
      </c>
      <c r="AX54" s="136">
        <f>IFERROR(IF(AND(AQ53="Probabilidad",AQ54="Probabilidad"),(AZ53-(+AZ53*AT54)),IF(AQ54="Probabilidad",(M53-(+M53*AT54)),IF(AQ54="Impacto",AZ53,""))),"")</f>
        <v>0.216</v>
      </c>
      <c r="AY54" s="137" t="str">
        <f t="shared" si="80"/>
        <v>Baja</v>
      </c>
      <c r="AZ54" s="135">
        <f t="shared" si="81"/>
        <v>0.216</v>
      </c>
      <c r="BA54" s="137" t="str">
        <f t="shared" ca="1" si="82"/>
        <v>Moderado</v>
      </c>
      <c r="BB54" s="135">
        <f ca="1">IFERROR(IF(AND(AQ53="Impacto",AQ54="Impacto"),(BB49-(+BB49*AT54)),IF(AQ54="Impacto",($AJ$25-(+$AJ$25*AT54)),IF(AQ54="Probabilidad",BB49,""))),"")</f>
        <v>0.6</v>
      </c>
      <c r="BC54" s="138" t="str">
        <f t="shared" ca="1" si="83"/>
        <v>Moderado</v>
      </c>
      <c r="BD54" s="134" t="s">
        <v>196</v>
      </c>
      <c r="BE54" s="120"/>
      <c r="BF54" s="127"/>
      <c r="BG54" s="139"/>
      <c r="BH54" s="139"/>
      <c r="BI54" s="120"/>
      <c r="BJ54" s="127"/>
      <c r="BK54" s="24"/>
      <c r="BL54" s="24"/>
      <c r="BM54" s="24"/>
      <c r="BN54" s="24"/>
      <c r="BO54" s="24"/>
      <c r="BP54" s="24"/>
      <c r="BQ54" s="24"/>
      <c r="BR54" s="24"/>
      <c r="BS54" s="24"/>
      <c r="BT54" s="24"/>
      <c r="BU54" s="24"/>
      <c r="BV54" s="24"/>
      <c r="BW54" s="24"/>
      <c r="BX54" s="24"/>
      <c r="BY54" s="24"/>
      <c r="BZ54" s="24"/>
      <c r="CA54" s="24"/>
      <c r="CB54" s="24"/>
      <c r="CC54" s="24"/>
      <c r="CD54" s="24"/>
    </row>
    <row r="55" spans="1:82" ht="76.5" customHeight="1" x14ac:dyDescent="0.3">
      <c r="A55" s="183">
        <v>22</v>
      </c>
      <c r="B55" s="183" t="s">
        <v>493</v>
      </c>
      <c r="C55" s="183" t="s">
        <v>193</v>
      </c>
      <c r="D55" s="183" t="s">
        <v>217</v>
      </c>
      <c r="E55" s="183"/>
      <c r="F55" s="189" t="s">
        <v>597</v>
      </c>
      <c r="G55" s="189" t="s">
        <v>494</v>
      </c>
      <c r="H55" s="183" t="str">
        <f>_xlfn.CONCAT("Posibilidad de afectación ",IF(C55='Opciones Tratamiento'!$E$2,"económica",IF(C55='Opciones Tratamiento'!$E$4,"económica y reputacional",LOWER(C55)))," por ",LOWER(F55), ", debido a ",LOWER(G55))</f>
        <v>Posibilidad de afectación reputacional por respuesta dadas a los ciudadanos que incumplen los términos legales, debido a posibles fallas de la funcionalidad en el software de gestión documental y debilidades en la asignación de los funcionarios que desarrollan las actividades del proceso.</v>
      </c>
      <c r="I55" s="183" t="s">
        <v>201</v>
      </c>
      <c r="J55" s="185" t="s">
        <v>230</v>
      </c>
      <c r="K55" s="185" t="s">
        <v>257</v>
      </c>
      <c r="L55" s="187" t="str">
        <f>IF(OR(K55='Opciones Tratamiento'!$K$14,K55='Opciones Tratamiento'!$K$15,K55='Opciones Tratamiento'!$K$16),"Muy Baja",IF(OR(K55='Opciones Tratamiento'!$K$10,K55='Opciones Tratamiento'!$K$11,K55='Opciones Tratamiento'!$K$12,K55='Opciones Tratamiento'!$K$13),"Baja",IF(OR(K55='Opciones Tratamiento'!$K$4,K55='Opciones Tratamiento'!$K$5,K55='Opciones Tratamiento'!$K$6,K55='Opciones Tratamiento'!$K$7,K55='Opciones Tratamiento'!$K$8,K55='Opciones Tratamiento'!$K$9),"Media",IF(K55='Opciones Tratamiento'!$K$3,"Alta",IF(OR(K55='Opciones Tratamiento'!$K$2,K55='Opciones Tratamiento'!$K$17),"Muy Alta")))))</f>
        <v>Muy Alta</v>
      </c>
      <c r="M55" s="188">
        <f>IF(L55="","",IF(L55="Muy Baja",0.2,IF(L55="Baja",0.4,IF(L55="Media",0.6,IF(L55="Alta",0.8,IF(L55="Muy Alta",1,))))))</f>
        <v>1</v>
      </c>
      <c r="N55" s="188" t="s">
        <v>149</v>
      </c>
      <c r="O55" s="188" t="str">
        <f ca="1">IF(NOT(ISERROR(MATCH(N55,'Tabla Impacto'!$B$221:$B$223,0))),'Tabla Impacto'!$F$223&amp;"Por favor no seleccionar los criterios de impacto(Afectación Económica o presupuestal y Pérdida Reputacional)",N55)</f>
        <v xml:space="preserve">     El riesgo afecta la imagen de la entidad con algunos usuarios de relevancia frente al logro de los objetivos</v>
      </c>
      <c r="P55" s="130"/>
      <c r="Q55" s="130"/>
      <c r="R55" s="130"/>
      <c r="S55" s="130"/>
      <c r="T55" s="130"/>
      <c r="U55" s="140"/>
      <c r="V55" s="140"/>
      <c r="W55" s="140"/>
      <c r="X55" s="140"/>
      <c r="Y55" s="140"/>
      <c r="Z55" s="140"/>
      <c r="AA55" s="140"/>
      <c r="AB55" s="140"/>
      <c r="AC55" s="140"/>
      <c r="AD55" s="130"/>
      <c r="AE55" s="130"/>
      <c r="AF55" s="130"/>
      <c r="AG55" s="130"/>
      <c r="AH55" s="130"/>
      <c r="AI55" s="187" t="str">
        <f ca="1">IF(OR(D55='Opciones Tratamiento'!$H$2,D55='Opciones Tratamiento'!$H$4),IF(OR(O55='Tabla Impacto'!$C$11,O55='Tabla Impacto'!$D$11),"Leve",IF(OR(O55='Tabla Impacto'!$C$12,O55='Tabla Impacto'!$D$12),"Menor",IF(OR(O55='Tabla Impacto'!$C$13,O55='Tabla Impacto'!$D$13),"Moderado",IF(OR(O55='Tabla Impacto'!$C$14,O55='Tabla Impacto'!$D$14),"Mayor",IF(OR(O55='Tabla Impacto'!$C$15,O55='Tabla Impacto'!$D$15),"Catastrófico",""))))),IF(D55='Opciones Tratamiento'!$H$3,IF(COUNTIF('Mapa final'!P55:AH55,"Si")&lt;=5,"Moderado",IF(AND(COUNTIF('Mapa final'!P55:AH55,"Si")&gt;5,COUNTIF('Mapa final'!P55:AH55,"Si")&lt;=10),"Mayor",IF(COUNTIF('Mapa final'!P55:AH55,"Si")&gt;10,"Catastrófico","")))))</f>
        <v>Moderado</v>
      </c>
      <c r="AJ55" s="188">
        <f ca="1">IF(AI55="","",IF(AI55="Leve",0.2,IF(AI55="Menor",0.4,IF(AI55="Moderado",0.6,IF(AI55="Mayor",0.8,IF(AI55="Catastrófico",1,))))))</f>
        <v>0.6</v>
      </c>
      <c r="AK55" s="190" t="str">
        <f ca="1">IF(OR(AND(L55="Muy Baja",AI55="Leve"),AND(L55="Muy Baja",AI55="Menor"),AND(L55="Baja",AI55="Leve")),"Bajo",IF(OR(AND(L55="Muy baja",AI55="Moderado"),AND(L55="Baja",AI55="Menor"),AND(L55="Baja",AI55="Moderado"),AND(L55="Media",AI55="Leve"),AND(L55="Media",AI55="Menor"),AND(L55="Media",AI55="Moderado"),AND(L55="Alta",AI55="Leve"),AND(L55="Alta",AI55="Menor")),"Moderado",IF(OR(AND(L55="Muy Baja",AI55="Mayor"),AND(L55="Baja",AI55="Mayor"),AND(L55="Media",AI55="Mayor"),AND(L55="Alta",AI55="Moderado"),AND(L55="Alta",AI55="Mayor"),AND(L55="Muy Alta",AI55="Leve"),AND(L55="Muy Alta",AI55="Menor"),AND(L55="Muy Alta",AI55="Moderado"),AND(L55="Muy Alta",AI55="Mayor")),"Alto",IF(OR(AND(L55="Muy Baja",AI55="Catastrófico"),AND(L55="Baja",AI55="Catastrófico"),AND(L55="Media",AI55="Catastrófico"),AND(L55="Alta",AI55="Catastrófico"),AND(L55="Muy Alta",AI55="Catastrófico")),"Extremo",""))))</f>
        <v>Alto</v>
      </c>
      <c r="AL55" s="127">
        <v>1</v>
      </c>
      <c r="AM55" s="127"/>
      <c r="AN55" s="127" t="e">
        <f>VLOOKUP(AM55,'Opciones Tratamiento'!$M$2:$O$37,3,FALSE)</f>
        <v>#N/A</v>
      </c>
      <c r="AO55" s="132" t="e">
        <f>VLOOKUP(AM55,'Opciones Tratamiento'!$M$2:$O$37,2,FALSE)</f>
        <v>#N/A</v>
      </c>
      <c r="AP55" s="133" t="s">
        <v>495</v>
      </c>
      <c r="AQ55" s="127" t="str">
        <f t="shared" ref="AQ55:AQ57" si="84">IF(OR(AR55="Preventivo",AR55="Detectivo"),"Probabilidad",IF(AR55="Correctivo","Impacto",""))</f>
        <v>Probabilidad</v>
      </c>
      <c r="AR55" s="134" t="s">
        <v>165</v>
      </c>
      <c r="AS55" s="134" t="s">
        <v>173</v>
      </c>
      <c r="AT55" s="135" t="str">
        <f t="shared" ref="AT55:AT57" si="85">IF(AND(AR55="Preventivo",AS55="Automático"),"50%",IF(AND(AR55="Preventivo",AS55="Manual"),"40%",IF(AND(AR55="Detectivo",AS55="Automático"),"40%",IF(AND(AR55="Detectivo",AS55="Manual"),"30%",IF(AND(AR55="Correctivo",AS55="Automático"),"35%",IF(AND(AR55="Correctivo",AS55="Manual"),"25%",""))))))</f>
        <v>40%</v>
      </c>
      <c r="AU55" s="134" t="s">
        <v>176</v>
      </c>
      <c r="AV55" s="134" t="s">
        <v>181</v>
      </c>
      <c r="AW55" s="134" t="s">
        <v>185</v>
      </c>
      <c r="AX55" s="136">
        <f>IFERROR(IF(AQ55="Probabilidad",(M55-(+M55*AT55)),IF(AQ55="Impacto",M55,"")),"")</f>
        <v>0.6</v>
      </c>
      <c r="AY55" s="137" t="str">
        <f t="shared" ref="AY55:AY57" si="86">IFERROR(IF(AX55="","",IF(AX55&lt;=0.2,"Muy Baja",IF(AX55&lt;=0.4,"Baja",IF(AX55&lt;=0.6,"Media",IF(AX55&lt;=0.8,"Alta","Muy Alta"))))),"")</f>
        <v>Media</v>
      </c>
      <c r="AZ55" s="135">
        <f t="shared" ref="AZ55:AZ57" si="87">+AX55</f>
        <v>0.6</v>
      </c>
      <c r="BA55" s="137" t="str">
        <f t="shared" ref="BA55:BA57" ca="1" si="88">IFERROR(IF(BB55="","",IF(BB55&lt;=0.2,"Leve",IF(BB55&lt;=0.4,"Menor",IF(BB55&lt;=0.6,"Moderado",IF(BB55&lt;=0.8,"Mayor","Catastrófico"))))),"")</f>
        <v>Moderado</v>
      </c>
      <c r="BB55" s="135">
        <f ca="1">IFERROR(IF(AQ55="Impacto",(AJ55-(+AJ55*AT55)),IF(AQ55="Probabilidad",AJ55,"")),"")</f>
        <v>0.6</v>
      </c>
      <c r="BC55" s="138" t="str">
        <f t="shared" ref="BC55:BC57" ca="1" si="89">IFERROR(IF(OR(AND(AY55="Muy Baja",BA55="Leve"),AND(AY55="Muy Baja",BA55="Menor"),AND(AY55="Baja",BA55="Leve")),"Bajo",IF(OR(AND(AY55="Muy baja",BA55="Moderado"),AND(AY55="Baja",BA55="Menor"),AND(AY55="Baja",BA55="Moderado"),AND(AY55="Media",BA55="Leve"),AND(AY55="Media",BA55="Menor"),AND(AY55="Media",BA55="Moderado"),AND(AY55="Alta",BA55="Leve"),AND(AY55="Alta",BA55="Menor")),"Moderado",IF(OR(AND(AY55="Muy Baja",BA55="Mayor"),AND(AY55="Baja",BA55="Mayor"),AND(AY55="Media",BA55="Mayor"),AND(AY55="Alta",BA55="Moderado"),AND(AY55="Alta",BA55="Mayor"),AND(AY55="Muy Alta",BA55="Leve"),AND(AY55="Muy Alta",BA55="Menor"),AND(AY55="Muy Alta",BA55="Moderado"),AND(AY55="Muy Alta",BA55="Mayor")),"Alto",IF(OR(AND(AY55="Muy Baja",BA55="Catastrófico"),AND(AY55="Baja",BA55="Catastrófico"),AND(AY55="Media",BA55="Catastrófico"),AND(AY55="Alta",BA55="Catastrófico"),AND(AY55="Muy Alta",BA55="Catastrófico")),"Extremo","")))),"")</f>
        <v>Moderado</v>
      </c>
      <c r="BD55" s="134" t="s">
        <v>196</v>
      </c>
      <c r="BE55" s="120"/>
      <c r="BF55" s="127"/>
      <c r="BG55" s="139"/>
      <c r="BH55" s="139"/>
      <c r="BI55" s="120"/>
      <c r="BJ55" s="127"/>
      <c r="BK55" s="18"/>
      <c r="BL55" s="18"/>
      <c r="BM55" s="18"/>
      <c r="BN55" s="18"/>
      <c r="BO55" s="18"/>
      <c r="BP55" s="18"/>
      <c r="BQ55" s="18"/>
      <c r="BR55" s="18"/>
      <c r="BS55" s="18"/>
      <c r="BT55" s="18"/>
      <c r="BU55" s="18"/>
      <c r="BV55" s="18"/>
      <c r="BW55" s="18"/>
      <c r="BX55" s="18"/>
      <c r="BY55" s="18"/>
      <c r="BZ55" s="18"/>
      <c r="CA55" s="18"/>
      <c r="CB55" s="18"/>
      <c r="CC55" s="18"/>
      <c r="CD55" s="18"/>
    </row>
    <row r="56" spans="1:82" ht="76.5" customHeight="1" x14ac:dyDescent="0.3">
      <c r="A56" s="184"/>
      <c r="B56" s="184"/>
      <c r="C56" s="186"/>
      <c r="D56" s="186"/>
      <c r="E56" s="186"/>
      <c r="F56" s="189"/>
      <c r="G56" s="189"/>
      <c r="H56" s="186"/>
      <c r="I56" s="186"/>
      <c r="J56" s="186"/>
      <c r="K56" s="186"/>
      <c r="L56" s="186"/>
      <c r="M56" s="186"/>
      <c r="N56" s="186"/>
      <c r="O56" s="186"/>
      <c r="P56" s="130"/>
      <c r="Q56" s="130"/>
      <c r="R56" s="130"/>
      <c r="S56" s="130"/>
      <c r="T56" s="130"/>
      <c r="U56" s="140"/>
      <c r="V56" s="140"/>
      <c r="W56" s="140"/>
      <c r="X56" s="140"/>
      <c r="Y56" s="140"/>
      <c r="Z56" s="140"/>
      <c r="AA56" s="140"/>
      <c r="AB56" s="140"/>
      <c r="AC56" s="140"/>
      <c r="AD56" s="130"/>
      <c r="AE56" s="130"/>
      <c r="AF56" s="130"/>
      <c r="AG56" s="130"/>
      <c r="AH56" s="130"/>
      <c r="AI56" s="186"/>
      <c r="AJ56" s="186"/>
      <c r="AK56" s="186"/>
      <c r="AL56" s="127">
        <v>2</v>
      </c>
      <c r="AM56" s="127"/>
      <c r="AN56" s="127" t="e">
        <f>VLOOKUP(AM56,'Opciones Tratamiento'!$M$2:$O$37,3,FALSE)</f>
        <v>#N/A</v>
      </c>
      <c r="AO56" s="132" t="e">
        <f>VLOOKUP(AM56,'Opciones Tratamiento'!$M$2:$O$37,2,FALSE)</f>
        <v>#N/A</v>
      </c>
      <c r="AP56" s="133" t="s">
        <v>496</v>
      </c>
      <c r="AQ56" s="127" t="str">
        <f t="shared" si="84"/>
        <v>Probabilidad</v>
      </c>
      <c r="AR56" s="134" t="s">
        <v>165</v>
      </c>
      <c r="AS56" s="134" t="s">
        <v>173</v>
      </c>
      <c r="AT56" s="135" t="str">
        <f t="shared" si="85"/>
        <v>40%</v>
      </c>
      <c r="AU56" s="134" t="s">
        <v>176</v>
      </c>
      <c r="AV56" s="134" t="s">
        <v>181</v>
      </c>
      <c r="AW56" s="134" t="s">
        <v>185</v>
      </c>
      <c r="AX56" s="136">
        <f>IFERROR(IF(AND(AQ55="Probabilidad",AQ56="Probabilidad"),(AZ55-(+AZ55*AT56)),IF(AQ56="Probabilidad",(M55-(+M55*AT56)),IF(AQ56="Impacto",AZ55,""))),"")</f>
        <v>0.36</v>
      </c>
      <c r="AY56" s="137" t="str">
        <f t="shared" si="86"/>
        <v>Baja</v>
      </c>
      <c r="AZ56" s="135">
        <f t="shared" si="87"/>
        <v>0.36</v>
      </c>
      <c r="BA56" s="137" t="str">
        <f t="shared" ca="1" si="88"/>
        <v>Moderado</v>
      </c>
      <c r="BB56" s="135">
        <f ca="1">IFERROR(IF(AND(AQ55="Impacto",AQ56="Impacto"),(BB53-(+BB53*AT56)),IF(AQ56="Impacto",($AJ$25-(+$AJ$25*AT56)),IF(AQ56="Probabilidad",BB53,""))),"")</f>
        <v>0.6</v>
      </c>
      <c r="BC56" s="138" t="str">
        <f t="shared" ca="1" si="89"/>
        <v>Moderado</v>
      </c>
      <c r="BD56" s="134" t="s">
        <v>196</v>
      </c>
      <c r="BE56" s="120"/>
      <c r="BF56" s="127"/>
      <c r="BG56" s="139"/>
      <c r="BH56" s="139"/>
      <c r="BI56" s="120"/>
      <c r="BJ56" s="127"/>
      <c r="BK56" s="24"/>
      <c r="BL56" s="24"/>
      <c r="BM56" s="24"/>
      <c r="BN56" s="24"/>
      <c r="BO56" s="24"/>
      <c r="BP56" s="24"/>
      <c r="BQ56" s="24"/>
      <c r="BR56" s="24"/>
      <c r="BS56" s="24"/>
      <c r="BT56" s="24"/>
      <c r="BU56" s="24"/>
      <c r="BV56" s="24"/>
      <c r="BW56" s="24"/>
      <c r="BX56" s="24"/>
      <c r="BY56" s="24"/>
      <c r="BZ56" s="24"/>
      <c r="CA56" s="24"/>
      <c r="CB56" s="24"/>
      <c r="CC56" s="24"/>
      <c r="CD56" s="24"/>
    </row>
    <row r="57" spans="1:82" ht="76.5" customHeight="1" x14ac:dyDescent="0.3">
      <c r="A57" s="184"/>
      <c r="B57" s="184"/>
      <c r="C57" s="186"/>
      <c r="D57" s="186"/>
      <c r="E57" s="186"/>
      <c r="F57" s="189"/>
      <c r="G57" s="189"/>
      <c r="H57" s="186"/>
      <c r="I57" s="186"/>
      <c r="J57" s="186"/>
      <c r="K57" s="186"/>
      <c r="L57" s="186"/>
      <c r="M57" s="186"/>
      <c r="N57" s="186"/>
      <c r="O57" s="186"/>
      <c r="P57" s="130"/>
      <c r="Q57" s="130"/>
      <c r="R57" s="130"/>
      <c r="S57" s="130"/>
      <c r="T57" s="130"/>
      <c r="U57" s="140"/>
      <c r="V57" s="140"/>
      <c r="W57" s="140"/>
      <c r="X57" s="140"/>
      <c r="Y57" s="140"/>
      <c r="Z57" s="140"/>
      <c r="AA57" s="140"/>
      <c r="AB57" s="140"/>
      <c r="AC57" s="140"/>
      <c r="AD57" s="130"/>
      <c r="AE57" s="130"/>
      <c r="AF57" s="130"/>
      <c r="AG57" s="130"/>
      <c r="AH57" s="130"/>
      <c r="AI57" s="186"/>
      <c r="AJ57" s="186"/>
      <c r="AK57" s="186"/>
      <c r="AL57" s="127">
        <v>3</v>
      </c>
      <c r="AM57" s="127"/>
      <c r="AN57" s="127" t="e">
        <f>VLOOKUP(AM57,'Opciones Tratamiento'!$M$2:$O$37,3,FALSE)</f>
        <v>#N/A</v>
      </c>
      <c r="AO57" s="132" t="e">
        <f>VLOOKUP(AM57,'Opciones Tratamiento'!$M$2:$O$37,2,FALSE)</f>
        <v>#N/A</v>
      </c>
      <c r="AP57" s="133" t="s">
        <v>598</v>
      </c>
      <c r="AQ57" s="127" t="str">
        <f t="shared" si="84"/>
        <v>Impacto</v>
      </c>
      <c r="AR57" s="134" t="s">
        <v>169</v>
      </c>
      <c r="AS57" s="134" t="s">
        <v>173</v>
      </c>
      <c r="AT57" s="135" t="str">
        <f t="shared" si="85"/>
        <v>25%</v>
      </c>
      <c r="AU57" s="134" t="s">
        <v>176</v>
      </c>
      <c r="AV57" s="134" t="s">
        <v>181</v>
      </c>
      <c r="AW57" s="134" t="s">
        <v>185</v>
      </c>
      <c r="AX57" s="136">
        <f t="shared" ref="AX57" si="90">IFERROR(IF(AND(AQ56="Probabilidad",AQ57="Probabilidad"),(AZ56-(+AZ56*AT57)),IF(AND(AQ56="Impacto",AQ57="Probabilidad"),(AZ55-(+AZ55*AT57)),IF(AQ57="Impacto",AZ56,""))),"")</f>
        <v>0.36</v>
      </c>
      <c r="AY57" s="137" t="str">
        <f t="shared" si="86"/>
        <v>Baja</v>
      </c>
      <c r="AZ57" s="135">
        <f t="shared" si="87"/>
        <v>0.36</v>
      </c>
      <c r="BA57" s="137" t="str">
        <f t="shared" ca="1" si="88"/>
        <v>Moderado</v>
      </c>
      <c r="BB57" s="135">
        <f t="shared" ref="BB57" ca="1" si="91">IFERROR(IF(AND(AQ56="Impacto",AQ57="Impacto"),(BB56-(+BB56*AT57)),IF(AND(AQ56="Probabilidad",AQ57="Impacto"),(BB55-(+BB55*AT57)),IF(AQ57="Probabilidad",BB56,""))),"")</f>
        <v>0.44999999999999996</v>
      </c>
      <c r="BC57" s="138" t="str">
        <f t="shared" ca="1" si="89"/>
        <v>Moderado</v>
      </c>
      <c r="BD57" s="134" t="s">
        <v>190</v>
      </c>
      <c r="BE57" s="120"/>
      <c r="BF57" s="127"/>
      <c r="BG57" s="139"/>
      <c r="BH57" s="139"/>
      <c r="BI57" s="120"/>
      <c r="BJ57" s="127"/>
      <c r="BK57" s="24"/>
      <c r="BL57" s="24"/>
      <c r="BM57" s="24"/>
      <c r="BN57" s="24"/>
      <c r="BO57" s="24"/>
      <c r="BP57" s="24"/>
      <c r="BQ57" s="24"/>
      <c r="BR57" s="24"/>
      <c r="BS57" s="24"/>
      <c r="BT57" s="24"/>
      <c r="BU57" s="24"/>
      <c r="BV57" s="24"/>
      <c r="BW57" s="24"/>
      <c r="BX57" s="24"/>
      <c r="BY57" s="24"/>
      <c r="BZ57" s="24"/>
      <c r="CA57" s="24"/>
      <c r="CB57" s="24"/>
      <c r="CC57" s="24"/>
      <c r="CD57" s="24"/>
    </row>
    <row r="58" spans="1:82" ht="121.5" customHeight="1" x14ac:dyDescent="0.3">
      <c r="A58" s="183">
        <v>23</v>
      </c>
      <c r="B58" s="183" t="s">
        <v>409</v>
      </c>
      <c r="C58" s="183" t="s">
        <v>193</v>
      </c>
      <c r="D58" s="183" t="s">
        <v>217</v>
      </c>
      <c r="E58" s="183"/>
      <c r="F58" s="189" t="s">
        <v>497</v>
      </c>
      <c r="G58" s="189" t="s">
        <v>498</v>
      </c>
      <c r="H58" s="183" t="str">
        <f>_xlfn.CONCAT("Posibilidad de afectación ",IF(C58='Opciones Tratamiento'!$E$2,"económica",IF(C58='Opciones Tratamiento'!$E$4,"económica y reputacional",LOWER(C58)))," por ",LOWER(F58), ", debido a ",LOWER(G58))</f>
        <v>Posibilidad de afectación reputacional por incumplimiento de la proyección del área de ti de acuerdo a las necesidades de la entidad, debido a debilidades en planeación del proceso de gestión de sistemas de información
deficiencias en la priorización para la solicitud de recursos
 recursos necesarios insuficiente
s
deficiencias al seguimiento de las soluciones tecnológicas</v>
      </c>
      <c r="I58" s="183" t="s">
        <v>201</v>
      </c>
      <c r="J58" s="185" t="s">
        <v>231</v>
      </c>
      <c r="K58" s="185" t="s">
        <v>247</v>
      </c>
      <c r="L58" s="187" t="str">
        <f>IF(OR(K58='Opciones Tratamiento'!$K$14,K58='Opciones Tratamiento'!$K$15,K58='Opciones Tratamiento'!$K$16),"Muy Baja",IF(OR(K58='Opciones Tratamiento'!$K$10,K58='Opciones Tratamiento'!$K$11,K58='Opciones Tratamiento'!$K$12,K58='Opciones Tratamiento'!$K$13),"Baja",IF(OR(K58='Opciones Tratamiento'!$K$4,K58='Opciones Tratamiento'!$K$5,K58='Opciones Tratamiento'!$K$6,K58='Opciones Tratamiento'!$K$7,K58='Opciones Tratamiento'!$K$8,K58='Opciones Tratamiento'!$K$9),"Media",IF(K58='Opciones Tratamiento'!$K$3,"Alta",IF(OR(K58='Opciones Tratamiento'!$K$2,K58='Opciones Tratamiento'!$K$17),"Muy Alta")))))</f>
        <v>Media</v>
      </c>
      <c r="M58" s="188">
        <f>IF(L58="","",IF(L58="Muy Baja",0.2,IF(L58="Baja",0.4,IF(L58="Media",0.6,IF(L58="Alta",0.8,IF(L58="Muy Alta",1,))))))</f>
        <v>0.6</v>
      </c>
      <c r="N58" s="188" t="s">
        <v>149</v>
      </c>
      <c r="O58" s="188" t="str">
        <f ca="1">IF(NOT(ISERROR(MATCH(N58,'Tabla Impacto'!$B$221:$B$223,0))),'Tabla Impacto'!$F$223&amp;"Por favor no seleccionar los criterios de impacto(Afectación Económica o presupuestal y Pérdida Reputacional)",N58)</f>
        <v xml:space="preserve">     El riesgo afecta la imagen de la entidad con algunos usuarios de relevancia frente al logro de los objetivos</v>
      </c>
      <c r="P58" s="130"/>
      <c r="Q58" s="130"/>
      <c r="R58" s="130"/>
      <c r="S58" s="130"/>
      <c r="T58" s="130"/>
      <c r="U58" s="140"/>
      <c r="V58" s="140"/>
      <c r="W58" s="140"/>
      <c r="X58" s="140"/>
      <c r="Y58" s="140"/>
      <c r="Z58" s="140"/>
      <c r="AA58" s="140"/>
      <c r="AB58" s="140"/>
      <c r="AC58" s="140"/>
      <c r="AD58" s="130"/>
      <c r="AE58" s="130"/>
      <c r="AF58" s="130"/>
      <c r="AG58" s="130"/>
      <c r="AH58" s="130"/>
      <c r="AI58" s="187" t="str">
        <f ca="1">IF(OR(D58='Opciones Tratamiento'!$H$2,D58='Opciones Tratamiento'!$H$4),IF(OR(O58='Tabla Impacto'!$C$11,O58='Tabla Impacto'!$D$11),"Leve",IF(OR(O58='Tabla Impacto'!$C$12,O58='Tabla Impacto'!$D$12),"Menor",IF(OR(O58='Tabla Impacto'!$C$13,O58='Tabla Impacto'!$D$13),"Moderado",IF(OR(O58='Tabla Impacto'!$C$14,O58='Tabla Impacto'!$D$14),"Mayor",IF(OR(O58='Tabla Impacto'!$C$15,O58='Tabla Impacto'!$D$15),"Catastrófico",""))))),IF(D58='Opciones Tratamiento'!$H$3,IF(COUNTIF('Mapa final'!P58:AH58,"Si")&lt;=5,"Moderado",IF(AND(COUNTIF('Mapa final'!P58:AH58,"Si")&gt;5,COUNTIF('Mapa final'!P58:AH58,"Si")&lt;=10),"Mayor",IF(COUNTIF('Mapa final'!P58:AH58,"Si")&gt;10,"Catastrófico","")))))</f>
        <v>Moderado</v>
      </c>
      <c r="AJ58" s="188">
        <f ca="1">IF(AI58="","",IF(AI58="Leve",0.2,IF(AI58="Menor",0.4,IF(AI58="Moderado",0.6,IF(AI58="Mayor",0.8,IF(AI58="Catastrófico",1,))))))</f>
        <v>0.6</v>
      </c>
      <c r="AK58" s="190" t="str">
        <f ca="1">IF(OR(AND(L58="Muy Baja",AI58="Leve"),AND(L58="Muy Baja",AI58="Menor"),AND(L58="Baja",AI58="Leve")),"Bajo",IF(OR(AND(L58="Muy baja",AI58="Moderado"),AND(L58="Baja",AI58="Menor"),AND(L58="Baja",AI58="Moderado"),AND(L58="Media",AI58="Leve"),AND(L58="Media",AI58="Menor"),AND(L58="Media",AI58="Moderado"),AND(L58="Alta",AI58="Leve"),AND(L58="Alta",AI58="Menor")),"Moderado",IF(OR(AND(L58="Muy Baja",AI58="Mayor"),AND(L58="Baja",AI58="Mayor"),AND(L58="Media",AI58="Mayor"),AND(L58="Alta",AI58="Moderado"),AND(L58="Alta",AI58="Mayor"),AND(L58="Muy Alta",AI58="Leve"),AND(L58="Muy Alta",AI58="Menor"),AND(L58="Muy Alta",AI58="Moderado"),AND(L58="Muy Alta",AI58="Mayor")),"Alto",IF(OR(AND(L58="Muy Baja",AI58="Catastrófico"),AND(L58="Baja",AI58="Catastrófico"),AND(L58="Media",AI58="Catastrófico"),AND(L58="Alta",AI58="Catastrófico"),AND(L58="Muy Alta",AI58="Catastrófico")),"Extremo",""))))</f>
        <v>Moderado</v>
      </c>
      <c r="AL58" s="127">
        <v>1</v>
      </c>
      <c r="AM58" s="127"/>
      <c r="AN58" s="127" t="e">
        <f>VLOOKUP(AM58,'Opciones Tratamiento'!$M$2:$O$37,3,FALSE)</f>
        <v>#N/A</v>
      </c>
      <c r="AO58" s="132" t="e">
        <f>VLOOKUP(AM58,'Opciones Tratamiento'!$M$2:$O$37,2,FALSE)</f>
        <v>#N/A</v>
      </c>
      <c r="AP58" s="133" t="s">
        <v>499</v>
      </c>
      <c r="AQ58" s="127" t="str">
        <f t="shared" ref="AQ58:AQ59" si="92">IF(OR(AR58="Preventivo",AR58="Detectivo"),"Probabilidad",IF(AR58="Correctivo","Impacto",""))</f>
        <v>Probabilidad</v>
      </c>
      <c r="AR58" s="134" t="s">
        <v>165</v>
      </c>
      <c r="AS58" s="134" t="s">
        <v>173</v>
      </c>
      <c r="AT58" s="135" t="str">
        <f t="shared" ref="AT58:AT59" si="93">IF(AND(AR58="Preventivo",AS58="Automático"),"50%",IF(AND(AR58="Preventivo",AS58="Manual"),"40%",IF(AND(AR58="Detectivo",AS58="Automático"),"40%",IF(AND(AR58="Detectivo",AS58="Manual"),"30%",IF(AND(AR58="Correctivo",AS58="Automático"),"35%",IF(AND(AR58="Correctivo",AS58="Manual"),"25%",""))))))</f>
        <v>40%</v>
      </c>
      <c r="AU58" s="134" t="s">
        <v>176</v>
      </c>
      <c r="AV58" s="134" t="s">
        <v>181</v>
      </c>
      <c r="AW58" s="134" t="s">
        <v>185</v>
      </c>
      <c r="AX58" s="136">
        <f>IFERROR(IF(AQ58="Probabilidad",(M58-(+M58*AT58)),IF(AQ58="Impacto",M58,"")),"")</f>
        <v>0.36</v>
      </c>
      <c r="AY58" s="137" t="str">
        <f t="shared" ref="AY58:AY59" si="94">IFERROR(IF(AX58="","",IF(AX58&lt;=0.2,"Muy Baja",IF(AX58&lt;=0.4,"Baja",IF(AX58&lt;=0.6,"Media",IF(AX58&lt;=0.8,"Alta","Muy Alta"))))),"")</f>
        <v>Baja</v>
      </c>
      <c r="AZ58" s="135">
        <f t="shared" ref="AZ58:AZ59" si="95">+AX58</f>
        <v>0.36</v>
      </c>
      <c r="BA58" s="137" t="str">
        <f t="shared" ref="BA58:BA59" ca="1" si="96">IFERROR(IF(BB58="","",IF(BB58&lt;=0.2,"Leve",IF(BB58&lt;=0.4,"Menor",IF(BB58&lt;=0.6,"Moderado",IF(BB58&lt;=0.8,"Mayor","Catastrófico"))))),"")</f>
        <v>Moderado</v>
      </c>
      <c r="BB58" s="135">
        <f ca="1">IFERROR(IF(AQ58="Impacto",(AJ58-(+AJ58*AT58)),IF(AQ58="Probabilidad",AJ58,"")),"")</f>
        <v>0.6</v>
      </c>
      <c r="BC58" s="138" t="str">
        <f t="shared" ref="BC58:BC59" ca="1" si="97">IFERROR(IF(OR(AND(AY58="Muy Baja",BA58="Leve"),AND(AY58="Muy Baja",BA58="Menor"),AND(AY58="Baja",BA58="Leve")),"Bajo",IF(OR(AND(AY58="Muy baja",BA58="Moderado"),AND(AY58="Baja",BA58="Menor"),AND(AY58="Baja",BA58="Moderado"),AND(AY58="Media",BA58="Leve"),AND(AY58="Media",BA58="Menor"),AND(AY58="Media",BA58="Moderado"),AND(AY58="Alta",BA58="Leve"),AND(AY58="Alta",BA58="Menor")),"Moderado",IF(OR(AND(AY58="Muy Baja",BA58="Mayor"),AND(AY58="Baja",BA58="Mayor"),AND(AY58="Media",BA58="Mayor"),AND(AY58="Alta",BA58="Moderado"),AND(AY58="Alta",BA58="Mayor"),AND(AY58="Muy Alta",BA58="Leve"),AND(AY58="Muy Alta",BA58="Menor"),AND(AY58="Muy Alta",BA58="Moderado"),AND(AY58="Muy Alta",BA58="Mayor")),"Alto",IF(OR(AND(AY58="Muy Baja",BA58="Catastrófico"),AND(AY58="Baja",BA58="Catastrófico"),AND(AY58="Media",BA58="Catastrófico"),AND(AY58="Alta",BA58="Catastrófico"),AND(AY58="Muy Alta",BA58="Catastrófico")),"Extremo","")))),"")</f>
        <v>Moderado</v>
      </c>
      <c r="BD58" s="134" t="s">
        <v>196</v>
      </c>
      <c r="BE58" s="120"/>
      <c r="BF58" s="127"/>
      <c r="BG58" s="139"/>
      <c r="BH58" s="139"/>
      <c r="BI58" s="120"/>
      <c r="BJ58" s="127"/>
      <c r="BK58" s="18"/>
      <c r="BL58" s="18"/>
      <c r="BM58" s="18"/>
      <c r="BN58" s="18"/>
      <c r="BO58" s="18"/>
      <c r="BP58" s="18"/>
      <c r="BQ58" s="18"/>
      <c r="BR58" s="18"/>
      <c r="BS58" s="18"/>
      <c r="BT58" s="18"/>
      <c r="BU58" s="18"/>
      <c r="BV58" s="18"/>
      <c r="BW58" s="18"/>
      <c r="BX58" s="18"/>
      <c r="BY58" s="18"/>
      <c r="BZ58" s="18"/>
      <c r="CA58" s="18"/>
      <c r="CB58" s="18"/>
      <c r="CC58" s="18"/>
      <c r="CD58" s="18"/>
    </row>
    <row r="59" spans="1:82" ht="121.5" customHeight="1" x14ac:dyDescent="0.3">
      <c r="A59" s="184"/>
      <c r="B59" s="184"/>
      <c r="C59" s="186"/>
      <c r="D59" s="186"/>
      <c r="E59" s="186"/>
      <c r="F59" s="189"/>
      <c r="G59" s="189"/>
      <c r="H59" s="186"/>
      <c r="I59" s="186"/>
      <c r="J59" s="186"/>
      <c r="K59" s="186"/>
      <c r="L59" s="186"/>
      <c r="M59" s="186"/>
      <c r="N59" s="186"/>
      <c r="O59" s="186"/>
      <c r="P59" s="130"/>
      <c r="Q59" s="130"/>
      <c r="R59" s="130"/>
      <c r="S59" s="130"/>
      <c r="T59" s="130"/>
      <c r="U59" s="140"/>
      <c r="V59" s="140"/>
      <c r="W59" s="140"/>
      <c r="X59" s="140"/>
      <c r="Y59" s="140"/>
      <c r="Z59" s="140"/>
      <c r="AA59" s="140"/>
      <c r="AB59" s="140"/>
      <c r="AC59" s="140"/>
      <c r="AD59" s="130"/>
      <c r="AE59" s="130"/>
      <c r="AF59" s="130"/>
      <c r="AG59" s="130"/>
      <c r="AH59" s="130"/>
      <c r="AI59" s="186"/>
      <c r="AJ59" s="186"/>
      <c r="AK59" s="186"/>
      <c r="AL59" s="127">
        <v>2</v>
      </c>
      <c r="AM59" s="127"/>
      <c r="AN59" s="127" t="e">
        <f>VLOOKUP(AM59,'Opciones Tratamiento'!$M$2:$O$37,3,FALSE)</f>
        <v>#N/A</v>
      </c>
      <c r="AO59" s="132" t="e">
        <f>VLOOKUP(AM59,'Opciones Tratamiento'!$M$2:$O$37,2,FALSE)</f>
        <v>#N/A</v>
      </c>
      <c r="AP59" s="133" t="s">
        <v>500</v>
      </c>
      <c r="AQ59" s="127" t="str">
        <f t="shared" si="92"/>
        <v>Probabilidad</v>
      </c>
      <c r="AR59" s="134" t="s">
        <v>165</v>
      </c>
      <c r="AS59" s="134" t="s">
        <v>173</v>
      </c>
      <c r="AT59" s="135" t="str">
        <f t="shared" si="93"/>
        <v>40%</v>
      </c>
      <c r="AU59" s="134" t="s">
        <v>176</v>
      </c>
      <c r="AV59" s="134" t="s">
        <v>181</v>
      </c>
      <c r="AW59" s="134" t="s">
        <v>185</v>
      </c>
      <c r="AX59" s="136">
        <f>IFERROR(IF(AND(AQ58="Probabilidad",AQ59="Probabilidad"),(AZ58-(+AZ58*AT59)),IF(AQ59="Probabilidad",(M58-(+M58*AT59)),IF(AQ59="Impacto",AZ58,""))),"")</f>
        <v>0.216</v>
      </c>
      <c r="AY59" s="137" t="str">
        <f t="shared" si="94"/>
        <v>Baja</v>
      </c>
      <c r="AZ59" s="135">
        <f t="shared" si="95"/>
        <v>0.216</v>
      </c>
      <c r="BA59" s="137" t="str">
        <f t="shared" ca="1" si="96"/>
        <v>Moderado</v>
      </c>
      <c r="BB59" s="135">
        <f ca="1">IFERROR(IF(AND(AQ58="Impacto",AQ59="Impacto"),(BB55-(+BB55*AT59)),IF(AQ59="Impacto",($AJ$25-(+$AJ$25*AT59)),IF(AQ59="Probabilidad",BB55,""))),"")</f>
        <v>0.6</v>
      </c>
      <c r="BC59" s="138" t="str">
        <f t="shared" ca="1" si="97"/>
        <v>Moderado</v>
      </c>
      <c r="BD59" s="134" t="s">
        <v>190</v>
      </c>
      <c r="BE59" s="120"/>
      <c r="BF59" s="127"/>
      <c r="BG59" s="139"/>
      <c r="BH59" s="139"/>
      <c r="BI59" s="120"/>
      <c r="BJ59" s="127"/>
      <c r="BK59" s="24"/>
      <c r="BL59" s="24"/>
      <c r="BM59" s="24"/>
      <c r="BN59" s="24"/>
      <c r="BO59" s="24"/>
      <c r="BP59" s="24"/>
      <c r="BQ59" s="24"/>
      <c r="BR59" s="24"/>
      <c r="BS59" s="24"/>
      <c r="BT59" s="24"/>
      <c r="BU59" s="24"/>
      <c r="BV59" s="24"/>
      <c r="BW59" s="24"/>
      <c r="BX59" s="24"/>
      <c r="BY59" s="24"/>
      <c r="BZ59" s="24"/>
      <c r="CA59" s="24"/>
      <c r="CB59" s="24"/>
      <c r="CC59" s="24"/>
      <c r="CD59" s="24"/>
    </row>
    <row r="60" spans="1:82" ht="99.6" customHeight="1" x14ac:dyDescent="0.3">
      <c r="A60" s="183">
        <v>24</v>
      </c>
      <c r="B60" s="183" t="s">
        <v>409</v>
      </c>
      <c r="C60" s="183" t="s">
        <v>193</v>
      </c>
      <c r="D60" s="183" t="s">
        <v>217</v>
      </c>
      <c r="E60" s="183"/>
      <c r="F60" s="183" t="s">
        <v>501</v>
      </c>
      <c r="G60" s="183" t="s">
        <v>502</v>
      </c>
      <c r="H60" s="183" t="str">
        <f>_xlfn.CONCAT("Posibilidad de afectación ",IF(C60='Opciones Tratamiento'!$E$2,"económica",IF(C60='Opciones Tratamiento'!$E$4,"económica y reputacional",LOWER(C60)))," por ",LOWER(F60), ", debido a ",LOWER(G60))</f>
        <v>Posibilidad de afectación reputacional por perdida de los atributos de seguridad de la información, debido a deficiencias en la planeación e implementación del sgsi
 ausencia de mecanismos para evaluar la implementación, mantenimiento y mejora  del sgsi
debilidades en las condiciones de seguridad de la información</v>
      </c>
      <c r="I60" s="183" t="s">
        <v>202</v>
      </c>
      <c r="J60" s="185" t="s">
        <v>230</v>
      </c>
      <c r="K60" s="185" t="s">
        <v>257</v>
      </c>
      <c r="L60" s="187" t="str">
        <f>IF(OR(K60='Opciones Tratamiento'!$K$14,K60='Opciones Tratamiento'!$K$15,K60='Opciones Tratamiento'!$K$16),"Muy Baja",IF(OR(K60='Opciones Tratamiento'!$K$10,K60='Opciones Tratamiento'!$K$11,K60='Opciones Tratamiento'!$K$12,K60='Opciones Tratamiento'!$K$13),"Baja",IF(OR(K60='Opciones Tratamiento'!$K$4,K60='Opciones Tratamiento'!$K$5,K60='Opciones Tratamiento'!$K$6,K60='Opciones Tratamiento'!$K$7,K60='Opciones Tratamiento'!$K$8,K60='Opciones Tratamiento'!$K$9),"Media",IF(K60='Opciones Tratamiento'!$K$3,"Alta",IF(OR(K60='Opciones Tratamiento'!$K$2,K60='Opciones Tratamiento'!$K$17),"Muy Alta")))))</f>
        <v>Muy Alta</v>
      </c>
      <c r="M60" s="188">
        <f>IF(L60="","",IF(L60="Muy Baja",0.2,IF(L60="Baja",0.4,IF(L60="Media",0.6,IF(L60="Alta",0.8,IF(L60="Muy Alta",1,))))))</f>
        <v>1</v>
      </c>
      <c r="N60" s="188" t="s">
        <v>149</v>
      </c>
      <c r="O60" s="188" t="str">
        <f ca="1">IF(NOT(ISERROR(MATCH(N60,'Tabla Impacto'!$B$221:$B$223,0))),'Tabla Impacto'!$F$223&amp;"Por favor no seleccionar los criterios de impacto(Afectación Económica o presupuestal y Pérdida Reputacional)",N60)</f>
        <v xml:space="preserve">     El riesgo afecta la imagen de la entidad con algunos usuarios de relevancia frente al logro de los objetivos</v>
      </c>
      <c r="P60" s="130"/>
      <c r="Q60" s="130"/>
      <c r="R60" s="130"/>
      <c r="S60" s="130"/>
      <c r="T60" s="130"/>
      <c r="U60" s="140"/>
      <c r="V60" s="140"/>
      <c r="W60" s="140"/>
      <c r="X60" s="140"/>
      <c r="Y60" s="140"/>
      <c r="Z60" s="140"/>
      <c r="AA60" s="140"/>
      <c r="AB60" s="140"/>
      <c r="AC60" s="140"/>
      <c r="AD60" s="130"/>
      <c r="AE60" s="130"/>
      <c r="AF60" s="130"/>
      <c r="AG60" s="130"/>
      <c r="AH60" s="130"/>
      <c r="AI60" s="187" t="str">
        <f ca="1">IF(OR(D60='Opciones Tratamiento'!$H$2,D60='Opciones Tratamiento'!$H$4),IF(OR(O60='Tabla Impacto'!$C$11,O60='Tabla Impacto'!$D$11),"Leve",IF(OR(O60='Tabla Impacto'!$C$12,O60='Tabla Impacto'!$D$12),"Menor",IF(OR(O60='Tabla Impacto'!$C$13,O60='Tabla Impacto'!$D$13),"Moderado",IF(OR(O60='Tabla Impacto'!$C$14,O60='Tabla Impacto'!$D$14),"Mayor",IF(OR(O60='Tabla Impacto'!$C$15,O60='Tabla Impacto'!$D$15),"Catastrófico",""))))),IF(D60='Opciones Tratamiento'!$H$3,IF(COUNTIF('Mapa final'!P60:AH60,"Si")&lt;=5,"Moderado",IF(AND(COUNTIF('Mapa final'!P60:AH60,"Si")&gt;5,COUNTIF('Mapa final'!P60:AH60,"Si")&lt;=10),"Mayor",IF(COUNTIF('Mapa final'!P60:AH60,"Si")&gt;10,"Catastrófico","")))))</f>
        <v>Moderado</v>
      </c>
      <c r="AJ60" s="188">
        <f ca="1">IF(AI60="","",IF(AI60="Leve",0.2,IF(AI60="Menor",0.4,IF(AI60="Moderado",0.6,IF(AI60="Mayor",0.8,IF(AI60="Catastrófico",1,))))))</f>
        <v>0.6</v>
      </c>
      <c r="AK60" s="190" t="str">
        <f ca="1">IF(OR(AND(L60="Muy Baja",AI60="Leve"),AND(L60="Muy Baja",AI60="Menor"),AND(L60="Baja",AI60="Leve")),"Bajo",IF(OR(AND(L60="Muy baja",AI60="Moderado"),AND(L60="Baja",AI60="Menor"),AND(L60="Baja",AI60="Moderado"),AND(L60="Media",AI60="Leve"),AND(L60="Media",AI60="Menor"),AND(L60="Media",AI60="Moderado"),AND(L60="Alta",AI60="Leve"),AND(L60="Alta",AI60="Menor")),"Moderado",IF(OR(AND(L60="Muy Baja",AI60="Mayor"),AND(L60="Baja",AI60="Mayor"),AND(L60="Media",AI60="Mayor"),AND(L60="Alta",AI60="Moderado"),AND(L60="Alta",AI60="Mayor"),AND(L60="Muy Alta",AI60="Leve"),AND(L60="Muy Alta",AI60="Menor"),AND(L60="Muy Alta",AI60="Moderado"),AND(L60="Muy Alta",AI60="Mayor")),"Alto",IF(OR(AND(L60="Muy Baja",AI60="Catastrófico"),AND(L60="Baja",AI60="Catastrófico"),AND(L60="Media",AI60="Catastrófico"),AND(L60="Alta",AI60="Catastrófico"),AND(L60="Muy Alta",AI60="Catastrófico")),"Extremo",""))))</f>
        <v>Alto</v>
      </c>
      <c r="AL60" s="127">
        <v>1</v>
      </c>
      <c r="AM60" s="127"/>
      <c r="AN60" s="127" t="e">
        <f>VLOOKUP(AM60,'Opciones Tratamiento'!$M$2:$O$37,3,FALSE)</f>
        <v>#N/A</v>
      </c>
      <c r="AO60" s="132" t="e">
        <f>VLOOKUP(AM60,'Opciones Tratamiento'!$M$2:$O$37,2,FALSE)</f>
        <v>#N/A</v>
      </c>
      <c r="AP60" s="133" t="s">
        <v>503</v>
      </c>
      <c r="AQ60" s="127" t="str">
        <f t="shared" ref="AQ60:AQ63" si="98">IF(OR(AR60="Preventivo",AR60="Detectivo"),"Probabilidad",IF(AR60="Correctivo","Impacto",""))</f>
        <v>Probabilidad</v>
      </c>
      <c r="AR60" s="134" t="s">
        <v>165</v>
      </c>
      <c r="AS60" s="134" t="s">
        <v>173</v>
      </c>
      <c r="AT60" s="135" t="str">
        <f t="shared" ref="AT60:AT63" si="99">IF(AND(AR60="Preventivo",AS60="Automático"),"50%",IF(AND(AR60="Preventivo",AS60="Manual"),"40%",IF(AND(AR60="Detectivo",AS60="Automático"),"40%",IF(AND(AR60="Detectivo",AS60="Manual"),"30%",IF(AND(AR60="Correctivo",AS60="Automático"),"35%",IF(AND(AR60="Correctivo",AS60="Manual"),"25%",""))))))</f>
        <v>40%</v>
      </c>
      <c r="AU60" s="134" t="s">
        <v>176</v>
      </c>
      <c r="AV60" s="134" t="s">
        <v>181</v>
      </c>
      <c r="AW60" s="134" t="s">
        <v>185</v>
      </c>
      <c r="AX60" s="136">
        <f>IFERROR(IF(AQ60="Probabilidad",(M60-(+M60*AT60)),IF(AQ60="Impacto",M60,"")),"")</f>
        <v>0.6</v>
      </c>
      <c r="AY60" s="137" t="str">
        <f t="shared" ref="AY60:AY63" si="100">IFERROR(IF(AX60="","",IF(AX60&lt;=0.2,"Muy Baja",IF(AX60&lt;=0.4,"Baja",IF(AX60&lt;=0.6,"Media",IF(AX60&lt;=0.8,"Alta","Muy Alta"))))),"")</f>
        <v>Media</v>
      </c>
      <c r="AZ60" s="135">
        <f t="shared" ref="AZ60:AZ63" si="101">+AX60</f>
        <v>0.6</v>
      </c>
      <c r="BA60" s="137" t="str">
        <f t="shared" ref="BA60:BA63" ca="1" si="102">IFERROR(IF(BB60="","",IF(BB60&lt;=0.2,"Leve",IF(BB60&lt;=0.4,"Menor",IF(BB60&lt;=0.6,"Moderado",IF(BB60&lt;=0.8,"Mayor","Catastrófico"))))),"")</f>
        <v>Moderado</v>
      </c>
      <c r="BB60" s="135">
        <f ca="1">IFERROR(IF(AQ60="Impacto",(AJ60-(+AJ60*AT60)),IF(AQ60="Probabilidad",AJ60,"")),"")</f>
        <v>0.6</v>
      </c>
      <c r="BC60" s="138" t="str">
        <f t="shared" ref="BC60:BC63" ca="1" si="103">IFERROR(IF(OR(AND(AY60="Muy Baja",BA60="Leve"),AND(AY60="Muy Baja",BA60="Menor"),AND(AY60="Baja",BA60="Leve")),"Bajo",IF(OR(AND(AY60="Muy baja",BA60="Moderado"),AND(AY60="Baja",BA60="Menor"),AND(AY60="Baja",BA60="Moderado"),AND(AY60="Media",BA60="Leve"),AND(AY60="Media",BA60="Menor"),AND(AY60="Media",BA60="Moderado"),AND(AY60="Alta",BA60="Leve"),AND(AY60="Alta",BA60="Menor")),"Moderado",IF(OR(AND(AY60="Muy Baja",BA60="Mayor"),AND(AY60="Baja",BA60="Mayor"),AND(AY60="Media",BA60="Mayor"),AND(AY60="Alta",BA60="Moderado"),AND(AY60="Alta",BA60="Mayor"),AND(AY60="Muy Alta",BA60="Leve"),AND(AY60="Muy Alta",BA60="Menor"),AND(AY60="Muy Alta",BA60="Moderado"),AND(AY60="Muy Alta",BA60="Mayor")),"Alto",IF(OR(AND(AY60="Muy Baja",BA60="Catastrófico"),AND(AY60="Baja",BA60="Catastrófico"),AND(AY60="Media",BA60="Catastrófico"),AND(AY60="Alta",BA60="Catastrófico"),AND(AY60="Muy Alta",BA60="Catastrófico")),"Extremo","")))),"")</f>
        <v>Moderado</v>
      </c>
      <c r="BD60" s="134" t="s">
        <v>196</v>
      </c>
      <c r="BE60" s="120"/>
      <c r="BF60" s="127"/>
      <c r="BG60" s="139"/>
      <c r="BH60" s="139"/>
      <c r="BI60" s="120"/>
      <c r="BJ60" s="127"/>
      <c r="BK60" s="18"/>
      <c r="BL60" s="18"/>
      <c r="BM60" s="18"/>
      <c r="BN60" s="18"/>
      <c r="BO60" s="18"/>
      <c r="BP60" s="18"/>
      <c r="BQ60" s="18"/>
      <c r="BR60" s="18"/>
      <c r="BS60" s="18"/>
      <c r="BT60" s="18"/>
      <c r="BU60" s="18"/>
      <c r="BV60" s="18"/>
      <c r="BW60" s="18"/>
      <c r="BX60" s="18"/>
      <c r="BY60" s="18"/>
      <c r="BZ60" s="18"/>
      <c r="CA60" s="18"/>
      <c r="CB60" s="18"/>
      <c r="CC60" s="18"/>
      <c r="CD60" s="18"/>
    </row>
    <row r="61" spans="1:82" ht="99.6" customHeight="1" x14ac:dyDescent="0.3">
      <c r="A61" s="184"/>
      <c r="B61" s="184"/>
      <c r="C61" s="186"/>
      <c r="D61" s="186"/>
      <c r="E61" s="186"/>
      <c r="F61" s="186"/>
      <c r="G61" s="186"/>
      <c r="H61" s="186"/>
      <c r="I61" s="186"/>
      <c r="J61" s="186"/>
      <c r="K61" s="186"/>
      <c r="L61" s="186"/>
      <c r="M61" s="186"/>
      <c r="N61" s="186"/>
      <c r="O61" s="186"/>
      <c r="P61" s="130"/>
      <c r="Q61" s="130"/>
      <c r="R61" s="130"/>
      <c r="S61" s="130"/>
      <c r="T61" s="130"/>
      <c r="U61" s="140"/>
      <c r="V61" s="140"/>
      <c r="W61" s="140"/>
      <c r="X61" s="140"/>
      <c r="Y61" s="140"/>
      <c r="Z61" s="140"/>
      <c r="AA61" s="140"/>
      <c r="AB61" s="140"/>
      <c r="AC61" s="140"/>
      <c r="AD61" s="130"/>
      <c r="AE61" s="130"/>
      <c r="AF61" s="130"/>
      <c r="AG61" s="130"/>
      <c r="AH61" s="130"/>
      <c r="AI61" s="186"/>
      <c r="AJ61" s="186"/>
      <c r="AK61" s="186"/>
      <c r="AL61" s="127">
        <v>2</v>
      </c>
      <c r="AM61" s="127"/>
      <c r="AN61" s="127" t="e">
        <f>VLOOKUP(AM61,'Opciones Tratamiento'!$M$2:$O$37,3,FALSE)</f>
        <v>#N/A</v>
      </c>
      <c r="AO61" s="132" t="e">
        <f>VLOOKUP(AM61,'Opciones Tratamiento'!$M$2:$O$37,2,FALSE)</f>
        <v>#N/A</v>
      </c>
      <c r="AP61" s="133" t="s">
        <v>504</v>
      </c>
      <c r="AQ61" s="127" t="str">
        <f t="shared" si="98"/>
        <v>Probabilidad</v>
      </c>
      <c r="AR61" s="134" t="s">
        <v>165</v>
      </c>
      <c r="AS61" s="134" t="s">
        <v>173</v>
      </c>
      <c r="AT61" s="135" t="str">
        <f t="shared" si="99"/>
        <v>40%</v>
      </c>
      <c r="AU61" s="134" t="s">
        <v>176</v>
      </c>
      <c r="AV61" s="134" t="s">
        <v>181</v>
      </c>
      <c r="AW61" s="134" t="s">
        <v>185</v>
      </c>
      <c r="AX61" s="136">
        <f>IFERROR(IF(AND(AQ60="Probabilidad",AQ61="Probabilidad"),(AZ60-(+AZ60*AT61)),IF(AQ61="Probabilidad",(M60-(+M60*AT61)),IF(AQ61="Impacto",AZ60,""))),"")</f>
        <v>0.36</v>
      </c>
      <c r="AY61" s="137" t="str">
        <f t="shared" si="100"/>
        <v>Baja</v>
      </c>
      <c r="AZ61" s="135">
        <f t="shared" si="101"/>
        <v>0.36</v>
      </c>
      <c r="BA61" s="137" t="str">
        <f t="shared" ca="1" si="102"/>
        <v>Moderado</v>
      </c>
      <c r="BB61" s="135">
        <f ca="1">IFERROR(IF(AND(AQ60="Impacto",AQ61="Impacto"),(BB58-(+BB58*AT61)),IF(AQ61="Impacto",($AJ$25-(+$AJ$25*AT61)),IF(AQ61="Probabilidad",BB58,""))),"")</f>
        <v>0.6</v>
      </c>
      <c r="BC61" s="138" t="str">
        <f t="shared" ca="1" si="103"/>
        <v>Moderado</v>
      </c>
      <c r="BD61" s="134" t="s">
        <v>196</v>
      </c>
      <c r="BE61" s="120"/>
      <c r="BF61" s="127"/>
      <c r="BG61" s="139"/>
      <c r="BH61" s="139"/>
      <c r="BI61" s="120"/>
      <c r="BJ61" s="127"/>
      <c r="BK61" s="24"/>
      <c r="BL61" s="24"/>
      <c r="BM61" s="24"/>
      <c r="BN61" s="24"/>
      <c r="BO61" s="24"/>
      <c r="BP61" s="24"/>
      <c r="BQ61" s="24"/>
      <c r="BR61" s="24"/>
      <c r="BS61" s="24"/>
      <c r="BT61" s="24"/>
      <c r="BU61" s="24"/>
      <c r="BV61" s="24"/>
      <c r="BW61" s="24"/>
      <c r="BX61" s="24"/>
      <c r="BY61" s="24"/>
      <c r="BZ61" s="24"/>
      <c r="CA61" s="24"/>
      <c r="CB61" s="24"/>
      <c r="CC61" s="24"/>
      <c r="CD61" s="24"/>
    </row>
    <row r="62" spans="1:82" ht="99.6" customHeight="1" x14ac:dyDescent="0.3">
      <c r="A62" s="184"/>
      <c r="B62" s="184"/>
      <c r="C62" s="186"/>
      <c r="D62" s="186"/>
      <c r="E62" s="186"/>
      <c r="F62" s="186"/>
      <c r="G62" s="186"/>
      <c r="H62" s="186"/>
      <c r="I62" s="186"/>
      <c r="J62" s="186"/>
      <c r="K62" s="186"/>
      <c r="L62" s="186"/>
      <c r="M62" s="186"/>
      <c r="N62" s="186"/>
      <c r="O62" s="186"/>
      <c r="P62" s="130"/>
      <c r="Q62" s="130"/>
      <c r="R62" s="130"/>
      <c r="S62" s="130"/>
      <c r="T62" s="130"/>
      <c r="U62" s="140"/>
      <c r="V62" s="140"/>
      <c r="W62" s="140"/>
      <c r="X62" s="140"/>
      <c r="Y62" s="140"/>
      <c r="Z62" s="140"/>
      <c r="AA62" s="140"/>
      <c r="AB62" s="140"/>
      <c r="AC62" s="140"/>
      <c r="AD62" s="130"/>
      <c r="AE62" s="130"/>
      <c r="AF62" s="130"/>
      <c r="AG62" s="130"/>
      <c r="AH62" s="130"/>
      <c r="AI62" s="186"/>
      <c r="AJ62" s="186"/>
      <c r="AK62" s="186"/>
      <c r="AL62" s="127">
        <v>3</v>
      </c>
      <c r="AM62" s="127"/>
      <c r="AN62" s="127" t="e">
        <f>VLOOKUP(AM62,'Opciones Tratamiento'!$M$2:$O$37,3,FALSE)</f>
        <v>#N/A</v>
      </c>
      <c r="AO62" s="132" t="e">
        <f>VLOOKUP(AM62,'Opciones Tratamiento'!$M$2:$O$37,2,FALSE)</f>
        <v>#N/A</v>
      </c>
      <c r="AP62" s="145" t="s">
        <v>505</v>
      </c>
      <c r="AQ62" s="127" t="str">
        <f t="shared" si="98"/>
        <v>Probabilidad</v>
      </c>
      <c r="AR62" s="134" t="s">
        <v>165</v>
      </c>
      <c r="AS62" s="134" t="s">
        <v>173</v>
      </c>
      <c r="AT62" s="135" t="str">
        <f t="shared" si="99"/>
        <v>40%</v>
      </c>
      <c r="AU62" s="134" t="s">
        <v>176</v>
      </c>
      <c r="AV62" s="134" t="s">
        <v>181</v>
      </c>
      <c r="AW62" s="134" t="s">
        <v>185</v>
      </c>
      <c r="AX62" s="136">
        <f t="shared" ref="AX62:AX63" si="104">IFERROR(IF(AND(AQ61="Probabilidad",AQ62="Probabilidad"),(AZ61-(+AZ61*AT62)),IF(AND(AQ61="Impacto",AQ62="Probabilidad"),(AZ60-(+AZ60*AT62)),IF(AQ62="Impacto",AZ61,""))),"")</f>
        <v>0.216</v>
      </c>
      <c r="AY62" s="137" t="str">
        <f t="shared" si="100"/>
        <v>Baja</v>
      </c>
      <c r="AZ62" s="135">
        <f t="shared" si="101"/>
        <v>0.216</v>
      </c>
      <c r="BA62" s="137" t="str">
        <f t="shared" ca="1" si="102"/>
        <v>Moderado</v>
      </c>
      <c r="BB62" s="135">
        <f t="shared" ref="BB62:BB63" ca="1" si="105">IFERROR(IF(AND(AQ61="Impacto",AQ62="Impacto"),(BB61-(+BB61*AT62)),IF(AND(AQ61="Probabilidad",AQ62="Impacto"),(BB60-(+BB60*AT62)),IF(AQ62="Probabilidad",BB61,""))),"")</f>
        <v>0.6</v>
      </c>
      <c r="BC62" s="138" t="str">
        <f t="shared" ca="1" si="103"/>
        <v>Moderado</v>
      </c>
      <c r="BD62" s="134" t="s">
        <v>196</v>
      </c>
      <c r="BE62" s="120"/>
      <c r="BF62" s="127"/>
      <c r="BG62" s="139"/>
      <c r="BH62" s="139"/>
      <c r="BI62" s="120"/>
      <c r="BJ62" s="127"/>
      <c r="BK62" s="24"/>
      <c r="BL62" s="24"/>
      <c r="BM62" s="24"/>
      <c r="BN62" s="24"/>
      <c r="BO62" s="24"/>
      <c r="BP62" s="24"/>
      <c r="BQ62" s="24"/>
      <c r="BR62" s="24"/>
      <c r="BS62" s="24"/>
      <c r="BT62" s="24"/>
      <c r="BU62" s="24"/>
      <c r="BV62" s="24"/>
      <c r="BW62" s="24"/>
      <c r="BX62" s="24"/>
      <c r="BY62" s="24"/>
      <c r="BZ62" s="24"/>
      <c r="CA62" s="24"/>
      <c r="CB62" s="24"/>
      <c r="CC62" s="24"/>
      <c r="CD62" s="24"/>
    </row>
    <row r="63" spans="1:82" ht="99.6" customHeight="1" x14ac:dyDescent="0.3">
      <c r="A63" s="184"/>
      <c r="B63" s="184"/>
      <c r="C63" s="186"/>
      <c r="D63" s="186"/>
      <c r="E63" s="186"/>
      <c r="F63" s="186"/>
      <c r="G63" s="186"/>
      <c r="H63" s="186"/>
      <c r="I63" s="186"/>
      <c r="J63" s="186"/>
      <c r="K63" s="186"/>
      <c r="L63" s="186"/>
      <c r="M63" s="186"/>
      <c r="N63" s="186"/>
      <c r="O63" s="186"/>
      <c r="P63" s="130"/>
      <c r="Q63" s="130"/>
      <c r="R63" s="130"/>
      <c r="S63" s="130"/>
      <c r="T63" s="130"/>
      <c r="U63" s="140"/>
      <c r="V63" s="140"/>
      <c r="W63" s="140"/>
      <c r="X63" s="140"/>
      <c r="Y63" s="140"/>
      <c r="Z63" s="140"/>
      <c r="AA63" s="140"/>
      <c r="AB63" s="140"/>
      <c r="AC63" s="140"/>
      <c r="AD63" s="130"/>
      <c r="AE63" s="130"/>
      <c r="AF63" s="130"/>
      <c r="AG63" s="130"/>
      <c r="AH63" s="130"/>
      <c r="AI63" s="186"/>
      <c r="AJ63" s="186"/>
      <c r="AK63" s="186"/>
      <c r="AL63" s="127">
        <v>4</v>
      </c>
      <c r="AM63" s="127"/>
      <c r="AN63" s="127" t="e">
        <f>VLOOKUP(AM63,'Opciones Tratamiento'!$M$2:$O$37,3,FALSE)</f>
        <v>#N/A</v>
      </c>
      <c r="AO63" s="132" t="e">
        <f>VLOOKUP(AM63,'Opciones Tratamiento'!$M$2:$O$37,2,FALSE)</f>
        <v>#N/A</v>
      </c>
      <c r="AP63" s="133" t="s">
        <v>506</v>
      </c>
      <c r="AQ63" s="127" t="str">
        <f t="shared" si="98"/>
        <v>Probabilidad</v>
      </c>
      <c r="AR63" s="134" t="s">
        <v>165</v>
      </c>
      <c r="AS63" s="134" t="s">
        <v>173</v>
      </c>
      <c r="AT63" s="135" t="str">
        <f t="shared" si="99"/>
        <v>40%</v>
      </c>
      <c r="AU63" s="134" t="s">
        <v>176</v>
      </c>
      <c r="AV63" s="134" t="s">
        <v>181</v>
      </c>
      <c r="AW63" s="134" t="s">
        <v>185</v>
      </c>
      <c r="AX63" s="136">
        <f t="shared" si="104"/>
        <v>0.12959999999999999</v>
      </c>
      <c r="AY63" s="137" t="str">
        <f t="shared" si="100"/>
        <v>Muy Baja</v>
      </c>
      <c r="AZ63" s="135">
        <f t="shared" si="101"/>
        <v>0.12959999999999999</v>
      </c>
      <c r="BA63" s="137" t="str">
        <f t="shared" ca="1" si="102"/>
        <v>Moderado</v>
      </c>
      <c r="BB63" s="135">
        <f t="shared" ca="1" si="105"/>
        <v>0.6</v>
      </c>
      <c r="BC63" s="138" t="str">
        <f t="shared" ca="1" si="103"/>
        <v>Moderado</v>
      </c>
      <c r="BD63" s="134" t="s">
        <v>190</v>
      </c>
      <c r="BE63" s="120"/>
      <c r="BF63" s="127"/>
      <c r="BG63" s="139"/>
      <c r="BH63" s="139"/>
      <c r="BI63" s="120"/>
      <c r="BJ63" s="127"/>
      <c r="BK63" s="24"/>
      <c r="BL63" s="24"/>
      <c r="BM63" s="24"/>
      <c r="BN63" s="24"/>
      <c r="BO63" s="24"/>
      <c r="BP63" s="24"/>
      <c r="BQ63" s="24"/>
      <c r="BR63" s="24"/>
      <c r="BS63" s="24"/>
      <c r="BT63" s="24"/>
      <c r="BU63" s="24"/>
      <c r="BV63" s="24"/>
      <c r="BW63" s="24"/>
      <c r="BX63" s="24"/>
      <c r="BY63" s="24"/>
      <c r="BZ63" s="24"/>
      <c r="CA63" s="24"/>
      <c r="CB63" s="24"/>
      <c r="CC63" s="24"/>
      <c r="CD63" s="24"/>
    </row>
    <row r="64" spans="1:82" ht="113.45" customHeight="1" x14ac:dyDescent="0.3">
      <c r="A64" s="183">
        <v>25</v>
      </c>
      <c r="B64" s="183" t="s">
        <v>409</v>
      </c>
      <c r="C64" s="183" t="s">
        <v>195</v>
      </c>
      <c r="D64" s="183" t="s">
        <v>217</v>
      </c>
      <c r="E64" s="183"/>
      <c r="F64" s="189" t="s">
        <v>507</v>
      </c>
      <c r="G64" s="183" t="s">
        <v>508</v>
      </c>
      <c r="H64" s="183" t="str">
        <f>_xlfn.CONCAT("Posibilidad de afectación ",IF(C64='Opciones Tratamiento'!$E$2,"económica",IF(C64='Opciones Tratamiento'!$E$4,"económica y reputacional",LOWER(C64)))," por ",LOWER(F64), ", debido a ",LOWER(G64))</f>
        <v>Posibilidad de afectación económica y reputacional por deficiencias en la calidad, oportunidad  y continuidad en el ciclo de vida de los servicios de ti, debido a deficiente definición de los requerimientos del usuario.
deficiente asignación o habilitación de recursos que soportan los servicios de ti
debilidades en el seguimiento a la etapa implementación y puesta en servicio</v>
      </c>
      <c r="I64" s="183" t="s">
        <v>232</v>
      </c>
      <c r="J64" s="185" t="s">
        <v>230</v>
      </c>
      <c r="K64" s="185" t="s">
        <v>257</v>
      </c>
      <c r="L64" s="187" t="str">
        <f>IF(OR(K64='Opciones Tratamiento'!$K$14,K64='Opciones Tratamiento'!$K$15,K64='Opciones Tratamiento'!$K$16),"Muy Baja",IF(OR(K64='Opciones Tratamiento'!$K$10,K64='Opciones Tratamiento'!$K$11,K64='Opciones Tratamiento'!$K$12,K64='Opciones Tratamiento'!$K$13),"Baja",IF(OR(K64='Opciones Tratamiento'!$K$4,K64='Opciones Tratamiento'!$K$5,K64='Opciones Tratamiento'!$K$6,K64='Opciones Tratamiento'!$K$7,K64='Opciones Tratamiento'!$K$8,K64='Opciones Tratamiento'!$K$9),"Media",IF(K64='Opciones Tratamiento'!$K$3,"Alta",IF(OR(K64='Opciones Tratamiento'!$K$2,K64='Opciones Tratamiento'!$K$17),"Muy Alta")))))</f>
        <v>Muy Alta</v>
      </c>
      <c r="M64" s="188">
        <f>IF(L64="","",IF(L64="Muy Baja",0.2,IF(L64="Baja",0.4,IF(L64="Media",0.6,IF(L64="Alta",0.8,IF(L64="Muy Alta",1,))))))</f>
        <v>1</v>
      </c>
      <c r="N64" s="188" t="s">
        <v>149</v>
      </c>
      <c r="O64" s="188" t="str">
        <f ca="1">IF(NOT(ISERROR(MATCH(N64,'Tabla Impacto'!$B$221:$B$223,0))),'Tabla Impacto'!$F$223&amp;"Por favor no seleccionar los criterios de impacto(Afectación Económica o presupuestal y Pérdida Reputacional)",N64)</f>
        <v xml:space="preserve">     El riesgo afecta la imagen de la entidad con algunos usuarios de relevancia frente al logro de los objetivos</v>
      </c>
      <c r="P64" s="130"/>
      <c r="Q64" s="130"/>
      <c r="R64" s="130"/>
      <c r="S64" s="130"/>
      <c r="T64" s="130"/>
      <c r="U64" s="140"/>
      <c r="V64" s="140"/>
      <c r="W64" s="140"/>
      <c r="X64" s="140"/>
      <c r="Y64" s="140"/>
      <c r="Z64" s="140"/>
      <c r="AA64" s="140"/>
      <c r="AB64" s="140"/>
      <c r="AC64" s="140"/>
      <c r="AD64" s="130"/>
      <c r="AE64" s="130"/>
      <c r="AF64" s="130"/>
      <c r="AG64" s="130"/>
      <c r="AH64" s="130"/>
      <c r="AI64" s="187" t="str">
        <f ca="1">IF(OR(D64='Opciones Tratamiento'!$H$2,D64='Opciones Tratamiento'!$H$4),IF(OR(O64='Tabla Impacto'!$C$11,O64='Tabla Impacto'!$D$11),"Leve",IF(OR(O64='Tabla Impacto'!$C$12,O64='Tabla Impacto'!$D$12),"Menor",IF(OR(O64='Tabla Impacto'!$C$13,O64='Tabla Impacto'!$D$13),"Moderado",IF(OR(O64='Tabla Impacto'!$C$14,O64='Tabla Impacto'!$D$14),"Mayor",IF(OR(O64='Tabla Impacto'!$C$15,O64='Tabla Impacto'!$D$15),"Catastrófico",""))))),IF(D64='Opciones Tratamiento'!$H$3,IF(COUNTIF('Mapa final'!P64:AH64,"Si")&lt;=5,"Moderado",IF(AND(COUNTIF('Mapa final'!P64:AH64,"Si")&gt;5,COUNTIF('Mapa final'!P64:AH64,"Si")&lt;=10),"Mayor",IF(COUNTIF('Mapa final'!P64:AH64,"Si")&gt;10,"Catastrófico","")))))</f>
        <v>Moderado</v>
      </c>
      <c r="AJ64" s="188">
        <f ca="1">IF(AI64="","",IF(AI64="Leve",0.2,IF(AI64="Menor",0.4,IF(AI64="Moderado",0.6,IF(AI64="Mayor",0.8,IF(AI64="Catastrófico",1,))))))</f>
        <v>0.6</v>
      </c>
      <c r="AK64" s="190" t="str">
        <f ca="1">IF(OR(AND(L64="Muy Baja",AI64="Leve"),AND(L64="Muy Baja",AI64="Menor"),AND(L64="Baja",AI64="Leve")),"Bajo",IF(OR(AND(L64="Muy baja",AI64="Moderado"),AND(L64="Baja",AI64="Menor"),AND(L64="Baja",AI64="Moderado"),AND(L64="Media",AI64="Leve"),AND(L64="Media",AI64="Menor"),AND(L64="Media",AI64="Moderado"),AND(L64="Alta",AI64="Leve"),AND(L64="Alta",AI64="Menor")),"Moderado",IF(OR(AND(L64="Muy Baja",AI64="Mayor"),AND(L64="Baja",AI64="Mayor"),AND(L64="Media",AI64="Mayor"),AND(L64="Alta",AI64="Moderado"),AND(L64="Alta",AI64="Mayor"),AND(L64="Muy Alta",AI64="Leve"),AND(L64="Muy Alta",AI64="Menor"),AND(L64="Muy Alta",AI64="Moderado"),AND(L64="Muy Alta",AI64="Mayor")),"Alto",IF(OR(AND(L64="Muy Baja",AI64="Catastrófico"),AND(L64="Baja",AI64="Catastrófico"),AND(L64="Media",AI64="Catastrófico"),AND(L64="Alta",AI64="Catastrófico"),AND(L64="Muy Alta",AI64="Catastrófico")),"Extremo",""))))</f>
        <v>Alto</v>
      </c>
      <c r="AL64" s="127">
        <v>1</v>
      </c>
      <c r="AM64" s="127"/>
      <c r="AN64" s="127" t="e">
        <f>VLOOKUP(AM64,'Opciones Tratamiento'!$M$2:$O$37,3,FALSE)</f>
        <v>#N/A</v>
      </c>
      <c r="AO64" s="132" t="e">
        <f>VLOOKUP(AM64,'Opciones Tratamiento'!$M$2:$O$37,2,FALSE)</f>
        <v>#N/A</v>
      </c>
      <c r="AP64" s="133" t="s">
        <v>509</v>
      </c>
      <c r="AQ64" s="127" t="str">
        <f t="shared" ref="AQ64:AQ68" si="106">IF(OR(AR64="Preventivo",AR64="Detectivo"),"Probabilidad",IF(AR64="Correctivo","Impacto",""))</f>
        <v>Probabilidad</v>
      </c>
      <c r="AR64" s="134" t="s">
        <v>165</v>
      </c>
      <c r="AS64" s="134" t="s">
        <v>173</v>
      </c>
      <c r="AT64" s="135" t="str">
        <f t="shared" ref="AT64:AT68" si="107">IF(AND(AR64="Preventivo",AS64="Automático"),"50%",IF(AND(AR64="Preventivo",AS64="Manual"),"40%",IF(AND(AR64="Detectivo",AS64="Automático"),"40%",IF(AND(AR64="Detectivo",AS64="Manual"),"30%",IF(AND(AR64="Correctivo",AS64="Automático"),"35%",IF(AND(AR64="Correctivo",AS64="Manual"),"25%",""))))))</f>
        <v>40%</v>
      </c>
      <c r="AU64" s="134" t="s">
        <v>176</v>
      </c>
      <c r="AV64" s="134" t="s">
        <v>181</v>
      </c>
      <c r="AW64" s="134" t="s">
        <v>185</v>
      </c>
      <c r="AX64" s="136">
        <f>IFERROR(IF(AQ64="Probabilidad",(M64-(+M64*AT64)),IF(AQ64="Impacto",M64,"")),"")</f>
        <v>0.6</v>
      </c>
      <c r="AY64" s="137" t="str">
        <f t="shared" ref="AY64:AY68" si="108">IFERROR(IF(AX64="","",IF(AX64&lt;=0.2,"Muy Baja",IF(AX64&lt;=0.4,"Baja",IF(AX64&lt;=0.6,"Media",IF(AX64&lt;=0.8,"Alta","Muy Alta"))))),"")</f>
        <v>Media</v>
      </c>
      <c r="AZ64" s="135">
        <f t="shared" ref="AZ64:AZ68" si="109">+AX64</f>
        <v>0.6</v>
      </c>
      <c r="BA64" s="137" t="str">
        <f t="shared" ref="BA64:BA68" ca="1" si="110">IFERROR(IF(BB64="","",IF(BB64&lt;=0.2,"Leve",IF(BB64&lt;=0.4,"Menor",IF(BB64&lt;=0.6,"Moderado",IF(BB64&lt;=0.8,"Mayor","Catastrófico"))))),"")</f>
        <v>Moderado</v>
      </c>
      <c r="BB64" s="135">
        <f ca="1">IFERROR(IF(AQ64="Impacto",(AJ64-(+AJ64*AT64)),IF(AQ64="Probabilidad",AJ64,"")),"")</f>
        <v>0.6</v>
      </c>
      <c r="BC64" s="138" t="str">
        <f t="shared" ref="BC64:BC68" ca="1" si="111">IFERROR(IF(OR(AND(AY64="Muy Baja",BA64="Leve"),AND(AY64="Muy Baja",BA64="Menor"),AND(AY64="Baja",BA64="Leve")),"Bajo",IF(OR(AND(AY64="Muy baja",BA64="Moderado"),AND(AY64="Baja",BA64="Menor"),AND(AY64="Baja",BA64="Moderado"),AND(AY64="Media",BA64="Leve"),AND(AY64="Media",BA64="Menor"),AND(AY64="Media",BA64="Moderado"),AND(AY64="Alta",BA64="Leve"),AND(AY64="Alta",BA64="Menor")),"Moderado",IF(OR(AND(AY64="Muy Baja",BA64="Mayor"),AND(AY64="Baja",BA64="Mayor"),AND(AY64="Media",BA64="Mayor"),AND(AY64="Alta",BA64="Moderado"),AND(AY64="Alta",BA64="Mayor"),AND(AY64="Muy Alta",BA64="Leve"),AND(AY64="Muy Alta",BA64="Menor"),AND(AY64="Muy Alta",BA64="Moderado"),AND(AY64="Muy Alta",BA64="Mayor")),"Alto",IF(OR(AND(AY64="Muy Baja",BA64="Catastrófico"),AND(AY64="Baja",BA64="Catastrófico"),AND(AY64="Media",BA64="Catastrófico"),AND(AY64="Alta",BA64="Catastrófico"),AND(AY64="Muy Alta",BA64="Catastrófico")),"Extremo","")))),"")</f>
        <v>Moderado</v>
      </c>
      <c r="BD64" s="134" t="s">
        <v>196</v>
      </c>
      <c r="BE64" s="120"/>
      <c r="BF64" s="127"/>
      <c r="BG64" s="139"/>
      <c r="BH64" s="139"/>
      <c r="BI64" s="120"/>
      <c r="BJ64" s="127"/>
      <c r="BK64" s="18"/>
      <c r="BL64" s="18"/>
      <c r="BM64" s="18"/>
      <c r="BN64" s="18"/>
      <c r="BO64" s="18"/>
      <c r="BP64" s="18"/>
      <c r="BQ64" s="18"/>
      <c r="BR64" s="18"/>
      <c r="BS64" s="18"/>
      <c r="BT64" s="18"/>
      <c r="BU64" s="18"/>
      <c r="BV64" s="18"/>
      <c r="BW64" s="18"/>
      <c r="BX64" s="18"/>
      <c r="BY64" s="18"/>
      <c r="BZ64" s="18"/>
      <c r="CA64" s="18"/>
      <c r="CB64" s="18"/>
      <c r="CC64" s="18"/>
      <c r="CD64" s="18"/>
    </row>
    <row r="65" spans="1:82" ht="113.45" customHeight="1" x14ac:dyDescent="0.3">
      <c r="A65" s="184"/>
      <c r="B65" s="184"/>
      <c r="C65" s="186"/>
      <c r="D65" s="186"/>
      <c r="E65" s="186"/>
      <c r="F65" s="189"/>
      <c r="G65" s="186"/>
      <c r="H65" s="186"/>
      <c r="I65" s="186"/>
      <c r="J65" s="186"/>
      <c r="K65" s="186"/>
      <c r="L65" s="186"/>
      <c r="M65" s="186"/>
      <c r="N65" s="186"/>
      <c r="O65" s="186"/>
      <c r="P65" s="130"/>
      <c r="Q65" s="130"/>
      <c r="R65" s="130"/>
      <c r="S65" s="130"/>
      <c r="T65" s="130"/>
      <c r="U65" s="140"/>
      <c r="V65" s="140"/>
      <c r="W65" s="140"/>
      <c r="X65" s="140"/>
      <c r="Y65" s="140"/>
      <c r="Z65" s="140"/>
      <c r="AA65" s="140"/>
      <c r="AB65" s="140"/>
      <c r="AC65" s="140"/>
      <c r="AD65" s="130"/>
      <c r="AE65" s="130"/>
      <c r="AF65" s="130"/>
      <c r="AG65" s="130"/>
      <c r="AH65" s="130"/>
      <c r="AI65" s="186"/>
      <c r="AJ65" s="186"/>
      <c r="AK65" s="186"/>
      <c r="AL65" s="127">
        <v>2</v>
      </c>
      <c r="AM65" s="127"/>
      <c r="AN65" s="127" t="e">
        <f>VLOOKUP(AM65,'Opciones Tratamiento'!$M$2:$O$37,3,FALSE)</f>
        <v>#N/A</v>
      </c>
      <c r="AO65" s="132" t="e">
        <f>VLOOKUP(AM65,'Opciones Tratamiento'!$M$2:$O$37,2,FALSE)</f>
        <v>#N/A</v>
      </c>
      <c r="AP65" s="133" t="s">
        <v>510</v>
      </c>
      <c r="AQ65" s="127" t="str">
        <f t="shared" si="106"/>
        <v>Probabilidad</v>
      </c>
      <c r="AR65" s="134" t="s">
        <v>165</v>
      </c>
      <c r="AS65" s="134" t="s">
        <v>173</v>
      </c>
      <c r="AT65" s="135" t="str">
        <f t="shared" si="107"/>
        <v>40%</v>
      </c>
      <c r="AU65" s="134" t="s">
        <v>176</v>
      </c>
      <c r="AV65" s="134" t="s">
        <v>181</v>
      </c>
      <c r="AW65" s="134" t="s">
        <v>185</v>
      </c>
      <c r="AX65" s="136">
        <f>IFERROR(IF(AND(AQ64="Probabilidad",AQ65="Probabilidad"),(AZ64-(+AZ64*AT65)),IF(AQ65="Probabilidad",(M64-(+M64*AT65)),IF(AQ65="Impacto",AZ64,""))),"")</f>
        <v>0.36</v>
      </c>
      <c r="AY65" s="137" t="str">
        <f t="shared" si="108"/>
        <v>Baja</v>
      </c>
      <c r="AZ65" s="135">
        <f t="shared" si="109"/>
        <v>0.36</v>
      </c>
      <c r="BA65" s="137" t="str">
        <f t="shared" ca="1" si="110"/>
        <v>Moderado</v>
      </c>
      <c r="BB65" s="135">
        <f ca="1">IFERROR(IF(AND(AQ64="Impacto",AQ65="Impacto"),(BB60-(+BB60*AT65)),IF(AQ65="Impacto",($AJ$25-(+$AJ$25*AT65)),IF(AQ65="Probabilidad",BB60,""))),"")</f>
        <v>0.6</v>
      </c>
      <c r="BC65" s="138" t="str">
        <f t="shared" ca="1" si="111"/>
        <v>Moderado</v>
      </c>
      <c r="BD65" s="134" t="s">
        <v>196</v>
      </c>
      <c r="BE65" s="120"/>
      <c r="BF65" s="127"/>
      <c r="BG65" s="139"/>
      <c r="BH65" s="139"/>
      <c r="BI65" s="120"/>
      <c r="BJ65" s="127"/>
      <c r="BK65" s="24"/>
      <c r="BL65" s="24"/>
      <c r="BM65" s="24"/>
      <c r="BN65" s="24"/>
      <c r="BO65" s="24"/>
      <c r="BP65" s="24"/>
      <c r="BQ65" s="24"/>
      <c r="BR65" s="24"/>
      <c r="BS65" s="24"/>
      <c r="BT65" s="24"/>
      <c r="BU65" s="24"/>
      <c r="BV65" s="24"/>
      <c r="BW65" s="24"/>
      <c r="BX65" s="24"/>
      <c r="BY65" s="24"/>
      <c r="BZ65" s="24"/>
      <c r="CA65" s="24"/>
      <c r="CB65" s="24"/>
      <c r="CC65" s="24"/>
      <c r="CD65" s="24"/>
    </row>
    <row r="66" spans="1:82" ht="113.45" customHeight="1" x14ac:dyDescent="0.3">
      <c r="A66" s="184"/>
      <c r="B66" s="184"/>
      <c r="C66" s="186"/>
      <c r="D66" s="186"/>
      <c r="E66" s="186"/>
      <c r="F66" s="189"/>
      <c r="G66" s="186"/>
      <c r="H66" s="186"/>
      <c r="I66" s="186"/>
      <c r="J66" s="186"/>
      <c r="K66" s="186"/>
      <c r="L66" s="186"/>
      <c r="M66" s="186"/>
      <c r="N66" s="186"/>
      <c r="O66" s="186"/>
      <c r="P66" s="130"/>
      <c r="Q66" s="130"/>
      <c r="R66" s="130"/>
      <c r="S66" s="130"/>
      <c r="T66" s="130"/>
      <c r="U66" s="140"/>
      <c r="V66" s="140"/>
      <c r="W66" s="140"/>
      <c r="X66" s="140"/>
      <c r="Y66" s="140"/>
      <c r="Z66" s="140"/>
      <c r="AA66" s="140"/>
      <c r="AB66" s="140"/>
      <c r="AC66" s="140"/>
      <c r="AD66" s="130"/>
      <c r="AE66" s="130"/>
      <c r="AF66" s="130"/>
      <c r="AG66" s="130"/>
      <c r="AH66" s="130"/>
      <c r="AI66" s="186"/>
      <c r="AJ66" s="186"/>
      <c r="AK66" s="186"/>
      <c r="AL66" s="127">
        <v>3</v>
      </c>
      <c r="AM66" s="127"/>
      <c r="AN66" s="127" t="e">
        <f>VLOOKUP(AM66,'Opciones Tratamiento'!$M$2:$O$37,3,FALSE)</f>
        <v>#N/A</v>
      </c>
      <c r="AO66" s="132" t="e">
        <f>VLOOKUP(AM66,'Opciones Tratamiento'!$M$2:$O$37,2,FALSE)</f>
        <v>#N/A</v>
      </c>
      <c r="AP66" s="145" t="s">
        <v>511</v>
      </c>
      <c r="AQ66" s="127" t="str">
        <f t="shared" si="106"/>
        <v>Probabilidad</v>
      </c>
      <c r="AR66" s="134" t="s">
        <v>165</v>
      </c>
      <c r="AS66" s="134" t="s">
        <v>173</v>
      </c>
      <c r="AT66" s="135" t="str">
        <f t="shared" si="107"/>
        <v>40%</v>
      </c>
      <c r="AU66" s="134" t="s">
        <v>176</v>
      </c>
      <c r="AV66" s="134" t="s">
        <v>181</v>
      </c>
      <c r="AW66" s="134" t="s">
        <v>185</v>
      </c>
      <c r="AX66" s="136">
        <f t="shared" ref="AX66:AX68" si="112">IFERROR(IF(AND(AQ65="Probabilidad",AQ66="Probabilidad"),(AZ65-(+AZ65*AT66)),IF(AND(AQ65="Impacto",AQ66="Probabilidad"),(AZ64-(+AZ64*AT66)),IF(AQ66="Impacto",AZ65,""))),"")</f>
        <v>0.216</v>
      </c>
      <c r="AY66" s="137" t="str">
        <f t="shared" si="108"/>
        <v>Baja</v>
      </c>
      <c r="AZ66" s="135">
        <f t="shared" si="109"/>
        <v>0.216</v>
      </c>
      <c r="BA66" s="137" t="str">
        <f t="shared" ca="1" si="110"/>
        <v>Moderado</v>
      </c>
      <c r="BB66" s="135">
        <f t="shared" ref="BB66:BB68" ca="1" si="113">IFERROR(IF(AND(AQ65="Impacto",AQ66="Impacto"),(BB65-(+BB65*AT66)),IF(AND(AQ65="Probabilidad",AQ66="Impacto"),(BB64-(+BB64*AT66)),IF(AQ66="Probabilidad",BB65,""))),"")</f>
        <v>0.6</v>
      </c>
      <c r="BC66" s="138" t="str">
        <f t="shared" ca="1" si="111"/>
        <v>Moderado</v>
      </c>
      <c r="BD66" s="134" t="s">
        <v>196</v>
      </c>
      <c r="BE66" s="120"/>
      <c r="BF66" s="127"/>
      <c r="BG66" s="139"/>
      <c r="BH66" s="139"/>
      <c r="BI66" s="120"/>
      <c r="BJ66" s="127"/>
      <c r="BK66" s="24"/>
      <c r="BL66" s="24"/>
      <c r="BM66" s="24"/>
      <c r="BN66" s="24"/>
      <c r="BO66" s="24"/>
      <c r="BP66" s="24"/>
      <c r="BQ66" s="24"/>
      <c r="BR66" s="24"/>
      <c r="BS66" s="24"/>
      <c r="BT66" s="24"/>
      <c r="BU66" s="24"/>
      <c r="BV66" s="24"/>
      <c r="BW66" s="24"/>
      <c r="BX66" s="24"/>
      <c r="BY66" s="24"/>
      <c r="BZ66" s="24"/>
      <c r="CA66" s="24"/>
      <c r="CB66" s="24"/>
      <c r="CC66" s="24"/>
      <c r="CD66" s="24"/>
    </row>
    <row r="67" spans="1:82" ht="113.45" customHeight="1" x14ac:dyDescent="0.3">
      <c r="A67" s="184"/>
      <c r="B67" s="184"/>
      <c r="C67" s="186"/>
      <c r="D67" s="186"/>
      <c r="E67" s="186"/>
      <c r="F67" s="189"/>
      <c r="G67" s="186"/>
      <c r="H67" s="186"/>
      <c r="I67" s="186"/>
      <c r="J67" s="186"/>
      <c r="K67" s="186"/>
      <c r="L67" s="186"/>
      <c r="M67" s="186"/>
      <c r="N67" s="186"/>
      <c r="O67" s="186"/>
      <c r="P67" s="130"/>
      <c r="Q67" s="130"/>
      <c r="R67" s="130"/>
      <c r="S67" s="130"/>
      <c r="T67" s="130"/>
      <c r="U67" s="140"/>
      <c r="V67" s="140"/>
      <c r="W67" s="140"/>
      <c r="X67" s="140"/>
      <c r="Y67" s="140"/>
      <c r="Z67" s="140"/>
      <c r="AA67" s="140"/>
      <c r="AB67" s="140"/>
      <c r="AC67" s="140"/>
      <c r="AD67" s="130"/>
      <c r="AE67" s="130"/>
      <c r="AF67" s="130"/>
      <c r="AG67" s="130"/>
      <c r="AH67" s="130"/>
      <c r="AI67" s="186"/>
      <c r="AJ67" s="186"/>
      <c r="AK67" s="186"/>
      <c r="AL67" s="127">
        <v>4</v>
      </c>
      <c r="AM67" s="127"/>
      <c r="AN67" s="127" t="e">
        <f>VLOOKUP(AM67,'Opciones Tratamiento'!$M$2:$O$37,3,FALSE)</f>
        <v>#N/A</v>
      </c>
      <c r="AO67" s="132" t="e">
        <f>VLOOKUP(AM67,'Opciones Tratamiento'!$M$2:$O$37,2,FALSE)</f>
        <v>#N/A</v>
      </c>
      <c r="AP67" s="145" t="s">
        <v>512</v>
      </c>
      <c r="AQ67" s="127" t="str">
        <f t="shared" si="106"/>
        <v>Probabilidad</v>
      </c>
      <c r="AR67" s="134" t="s">
        <v>165</v>
      </c>
      <c r="AS67" s="134" t="s">
        <v>173</v>
      </c>
      <c r="AT67" s="135" t="str">
        <f t="shared" si="107"/>
        <v>40%</v>
      </c>
      <c r="AU67" s="134" t="s">
        <v>176</v>
      </c>
      <c r="AV67" s="134" t="s">
        <v>181</v>
      </c>
      <c r="AW67" s="134" t="s">
        <v>185</v>
      </c>
      <c r="AX67" s="136">
        <f t="shared" si="112"/>
        <v>0.12959999999999999</v>
      </c>
      <c r="AY67" s="137" t="str">
        <f t="shared" si="108"/>
        <v>Muy Baja</v>
      </c>
      <c r="AZ67" s="135">
        <f t="shared" si="109"/>
        <v>0.12959999999999999</v>
      </c>
      <c r="BA67" s="137" t="str">
        <f t="shared" ca="1" si="110"/>
        <v>Moderado</v>
      </c>
      <c r="BB67" s="135">
        <f t="shared" ca="1" si="113"/>
        <v>0.6</v>
      </c>
      <c r="BC67" s="138" t="str">
        <f t="shared" ca="1" si="111"/>
        <v>Moderado</v>
      </c>
      <c r="BD67" s="134" t="s">
        <v>196</v>
      </c>
      <c r="BE67" s="120"/>
      <c r="BF67" s="127"/>
      <c r="BG67" s="139"/>
      <c r="BH67" s="139"/>
      <c r="BI67" s="120"/>
      <c r="BJ67" s="127"/>
      <c r="BK67" s="24"/>
      <c r="BL67" s="24"/>
      <c r="BM67" s="24"/>
      <c r="BN67" s="24"/>
      <c r="BO67" s="24"/>
      <c r="BP67" s="24"/>
      <c r="BQ67" s="24"/>
      <c r="BR67" s="24"/>
      <c r="BS67" s="24"/>
      <c r="BT67" s="24"/>
      <c r="BU67" s="24"/>
      <c r="BV67" s="24"/>
      <c r="BW67" s="24"/>
      <c r="BX67" s="24"/>
      <c r="BY67" s="24"/>
      <c r="BZ67" s="24"/>
      <c r="CA67" s="24"/>
      <c r="CB67" s="24"/>
      <c r="CC67" s="24"/>
      <c r="CD67" s="24"/>
    </row>
    <row r="68" spans="1:82" ht="113.45" customHeight="1" x14ac:dyDescent="0.3">
      <c r="A68" s="184"/>
      <c r="B68" s="184"/>
      <c r="C68" s="186"/>
      <c r="D68" s="186"/>
      <c r="E68" s="186"/>
      <c r="F68" s="189"/>
      <c r="G68" s="186"/>
      <c r="H68" s="186"/>
      <c r="I68" s="186"/>
      <c r="J68" s="186"/>
      <c r="K68" s="186"/>
      <c r="L68" s="186"/>
      <c r="M68" s="186"/>
      <c r="N68" s="186"/>
      <c r="O68" s="186"/>
      <c r="P68" s="130"/>
      <c r="Q68" s="130"/>
      <c r="R68" s="130"/>
      <c r="S68" s="130"/>
      <c r="T68" s="130"/>
      <c r="U68" s="140"/>
      <c r="V68" s="140"/>
      <c r="W68" s="140"/>
      <c r="X68" s="140"/>
      <c r="Y68" s="140"/>
      <c r="Z68" s="140"/>
      <c r="AA68" s="140"/>
      <c r="AB68" s="140"/>
      <c r="AC68" s="140"/>
      <c r="AD68" s="130"/>
      <c r="AE68" s="130"/>
      <c r="AF68" s="130"/>
      <c r="AG68" s="130"/>
      <c r="AH68" s="130"/>
      <c r="AI68" s="186"/>
      <c r="AJ68" s="186"/>
      <c r="AK68" s="186"/>
      <c r="AL68" s="127">
        <v>5</v>
      </c>
      <c r="AM68" s="127"/>
      <c r="AN68" s="127" t="e">
        <f>VLOOKUP(AM68,'Opciones Tratamiento'!$M$2:$O$37,3,FALSE)</f>
        <v>#N/A</v>
      </c>
      <c r="AO68" s="132" t="e">
        <f>VLOOKUP(AM68,'Opciones Tratamiento'!$M$2:$O$37,2,FALSE)</f>
        <v>#N/A</v>
      </c>
      <c r="AP68" s="133" t="s">
        <v>599</v>
      </c>
      <c r="AQ68" s="127" t="str">
        <f t="shared" si="106"/>
        <v>Probabilidad</v>
      </c>
      <c r="AR68" s="134" t="s">
        <v>165</v>
      </c>
      <c r="AS68" s="134" t="s">
        <v>173</v>
      </c>
      <c r="AT68" s="135" t="str">
        <f t="shared" si="107"/>
        <v>40%</v>
      </c>
      <c r="AU68" s="134" t="s">
        <v>176</v>
      </c>
      <c r="AV68" s="134" t="s">
        <v>181</v>
      </c>
      <c r="AW68" s="134" t="s">
        <v>185</v>
      </c>
      <c r="AX68" s="136">
        <f t="shared" si="112"/>
        <v>7.7759999999999996E-2</v>
      </c>
      <c r="AY68" s="137" t="str">
        <f t="shared" si="108"/>
        <v>Muy Baja</v>
      </c>
      <c r="AZ68" s="135">
        <f t="shared" si="109"/>
        <v>7.7759999999999996E-2</v>
      </c>
      <c r="BA68" s="137" t="str">
        <f t="shared" ca="1" si="110"/>
        <v>Moderado</v>
      </c>
      <c r="BB68" s="135">
        <f t="shared" ca="1" si="113"/>
        <v>0.6</v>
      </c>
      <c r="BC68" s="138" t="str">
        <f t="shared" ca="1" si="111"/>
        <v>Moderado</v>
      </c>
      <c r="BD68" s="134" t="s">
        <v>190</v>
      </c>
      <c r="BE68" s="120"/>
      <c r="BF68" s="127"/>
      <c r="BG68" s="139"/>
      <c r="BH68" s="139"/>
      <c r="BI68" s="120"/>
      <c r="BJ68" s="127"/>
      <c r="BK68" s="24"/>
      <c r="BL68" s="24"/>
      <c r="BM68" s="24"/>
      <c r="BN68" s="24"/>
      <c r="BO68" s="24"/>
      <c r="BP68" s="24"/>
      <c r="BQ68" s="24"/>
      <c r="BR68" s="24"/>
      <c r="BS68" s="24"/>
      <c r="BT68" s="24"/>
      <c r="BU68" s="24"/>
      <c r="BV68" s="24"/>
      <c r="BW68" s="24"/>
      <c r="BX68" s="24"/>
      <c r="BY68" s="24"/>
      <c r="BZ68" s="24"/>
      <c r="CA68" s="24"/>
      <c r="CB68" s="24"/>
      <c r="CC68" s="24"/>
      <c r="CD68" s="24"/>
    </row>
    <row r="69" spans="1:82" ht="69" customHeight="1" x14ac:dyDescent="0.3">
      <c r="A69" s="183">
        <v>26</v>
      </c>
      <c r="B69" s="183" t="s">
        <v>411</v>
      </c>
      <c r="C69" s="183" t="s">
        <v>193</v>
      </c>
      <c r="D69" s="183" t="s">
        <v>217</v>
      </c>
      <c r="E69" s="183"/>
      <c r="F69" s="189" t="s">
        <v>514</v>
      </c>
      <c r="G69" s="189" t="s">
        <v>513</v>
      </c>
      <c r="H69" s="183" t="str">
        <f>_xlfn.CONCAT("Posibilidad de afectación ",IF(C69='Opciones Tratamiento'!$E$2,"económica",IF(C69='Opciones Tratamiento'!$E$4,"económica y reputacional",LOWER(C69)))," por ",LOWER(F69), ", debido a ",LOWER(G69))</f>
        <v>Posibilidad de afectación reputacional por perdida de la información de la entidad, debido a inadecuado proceso de valoración documental que afecta los tiempos de retención.
.ausencia del programa de preservación de documentos físico y electrónicos
aplicación deficiente del formato único de inventario documental fuid por parte de las áreas de la entidad</v>
      </c>
      <c r="I69" s="183" t="s">
        <v>201</v>
      </c>
      <c r="J69" s="185" t="s">
        <v>230</v>
      </c>
      <c r="K69" s="185" t="s">
        <v>246</v>
      </c>
      <c r="L69" s="187" t="str">
        <f>IF(OR(K69='Opciones Tratamiento'!$K$14,K69='Opciones Tratamiento'!$K$15,K69='Opciones Tratamiento'!$K$16),"Muy Baja",IF(OR(K69='Opciones Tratamiento'!$K$10,K69='Opciones Tratamiento'!$K$11,K69='Opciones Tratamiento'!$K$12,K69='Opciones Tratamiento'!$K$13),"Baja",IF(OR(K69='Opciones Tratamiento'!$K$4,K69='Opciones Tratamiento'!$K$5,K69='Opciones Tratamiento'!$K$6,K69='Opciones Tratamiento'!$K$7,K69='Opciones Tratamiento'!$K$8,K69='Opciones Tratamiento'!$K$9),"Media",IF(K69='Opciones Tratamiento'!$K$3,"Alta",IF(OR(K69='Opciones Tratamiento'!$K$2,K69='Opciones Tratamiento'!$K$17),"Muy Alta")))))</f>
        <v>Media</v>
      </c>
      <c r="M69" s="188">
        <f>IF(L69="","",IF(L69="Muy Baja",0.2,IF(L69="Baja",0.4,IF(L69="Media",0.6,IF(L69="Alta",0.8,IF(L69="Muy Alta",1,))))))</f>
        <v>0.6</v>
      </c>
      <c r="N69" s="188" t="s">
        <v>147</v>
      </c>
      <c r="O69" s="188" t="str">
        <f ca="1">IF(NOT(ISERROR(MATCH(N69,'Tabla Impacto'!$B$221:$B$223,0))),'Tabla Impacto'!$F$223&amp;"Por favor no seleccionar los criterios de impacto(Afectación Económica o presupuestal y Pérdida Reputacional)",N69)</f>
        <v xml:space="preserve">     El riesgo afecta la imagen de la entidad internamente, de conocimiento general, nivel interno, de junta dircetiva y accionistas y/o de provedores</v>
      </c>
      <c r="P69" s="130"/>
      <c r="Q69" s="130"/>
      <c r="R69" s="130"/>
      <c r="S69" s="130"/>
      <c r="T69" s="130"/>
      <c r="U69" s="140"/>
      <c r="V69" s="140"/>
      <c r="W69" s="140"/>
      <c r="X69" s="140"/>
      <c r="Y69" s="140"/>
      <c r="Z69" s="140"/>
      <c r="AA69" s="140"/>
      <c r="AB69" s="140"/>
      <c r="AC69" s="140"/>
      <c r="AD69" s="130"/>
      <c r="AE69" s="130"/>
      <c r="AF69" s="130"/>
      <c r="AG69" s="130"/>
      <c r="AH69" s="130"/>
      <c r="AI69" s="187" t="str">
        <f ca="1">IF(OR(D69='Opciones Tratamiento'!$H$2,D69='Opciones Tratamiento'!$H$4),IF(OR(O69='Tabla Impacto'!$C$11,O69='Tabla Impacto'!$D$11),"Leve",IF(OR(O69='Tabla Impacto'!$C$12,O69='Tabla Impacto'!$D$12),"Menor",IF(OR(O69='Tabla Impacto'!$C$13,O69='Tabla Impacto'!$D$13),"Moderado",IF(OR(O69='Tabla Impacto'!$C$14,O69='Tabla Impacto'!$D$14),"Mayor",IF(OR(O69='Tabla Impacto'!$C$15,O69='Tabla Impacto'!$D$15),"Catastrófico",""))))),IF(D69='Opciones Tratamiento'!$H$3,IF(COUNTIF('Mapa final'!P69:AH69,"Si")&lt;=5,"Moderado",IF(AND(COUNTIF('Mapa final'!P69:AH69,"Si")&gt;5,COUNTIF('Mapa final'!P69:AH69,"Si")&lt;=10),"Mayor",IF(COUNTIF('Mapa final'!P69:AH69,"Si")&gt;10,"Catastrófico","")))))</f>
        <v>Menor</v>
      </c>
      <c r="AJ69" s="188">
        <f ca="1">IF(AI69="","",IF(AI69="Leve",0.2,IF(AI69="Menor",0.4,IF(AI69="Moderado",0.6,IF(AI69="Mayor",0.8,IF(AI69="Catastrófico",1,))))))</f>
        <v>0.4</v>
      </c>
      <c r="AK69" s="190" t="str">
        <f ca="1">IF(OR(AND(L69="Muy Baja",AI69="Leve"),AND(L69="Muy Baja",AI69="Menor"),AND(L69="Baja",AI69="Leve")),"Bajo",IF(OR(AND(L69="Muy baja",AI69="Moderado"),AND(L69="Baja",AI69="Menor"),AND(L69="Baja",AI69="Moderado"),AND(L69="Media",AI69="Leve"),AND(L69="Media",AI69="Menor"),AND(L69="Media",AI69="Moderado"),AND(L69="Alta",AI69="Leve"),AND(L69="Alta",AI69="Menor")),"Moderado",IF(OR(AND(L69="Muy Baja",AI69="Mayor"),AND(L69="Baja",AI69="Mayor"),AND(L69="Media",AI69="Mayor"),AND(L69="Alta",AI69="Moderado"),AND(L69="Alta",AI69="Mayor"),AND(L69="Muy Alta",AI69="Leve"),AND(L69="Muy Alta",AI69="Menor"),AND(L69="Muy Alta",AI69="Moderado"),AND(L69="Muy Alta",AI69="Mayor")),"Alto",IF(OR(AND(L69="Muy Baja",AI69="Catastrófico"),AND(L69="Baja",AI69="Catastrófico"),AND(L69="Media",AI69="Catastrófico"),AND(L69="Alta",AI69="Catastrófico"),AND(L69="Muy Alta",AI69="Catastrófico")),"Extremo",""))))</f>
        <v>Moderado</v>
      </c>
      <c r="AL69" s="127">
        <v>1</v>
      </c>
      <c r="AM69" s="127"/>
      <c r="AN69" s="127" t="e">
        <f>VLOOKUP(AM69,'Opciones Tratamiento'!$M$2:$O$37,3,FALSE)</f>
        <v>#N/A</v>
      </c>
      <c r="AO69" s="132" t="e">
        <f>VLOOKUP(AM69,'Opciones Tratamiento'!$M$2:$O$37,2,FALSE)</f>
        <v>#N/A</v>
      </c>
      <c r="AP69" s="133" t="s">
        <v>600</v>
      </c>
      <c r="AQ69" s="127" t="str">
        <f t="shared" ref="AQ69:AQ70" si="114">IF(OR(AR69="Preventivo",AR69="Detectivo"),"Probabilidad",IF(AR69="Correctivo","Impacto",""))</f>
        <v>Probabilidad</v>
      </c>
      <c r="AR69" s="134" t="s">
        <v>165</v>
      </c>
      <c r="AS69" s="134" t="s">
        <v>173</v>
      </c>
      <c r="AT69" s="135" t="str">
        <f t="shared" ref="AT69:AT70" si="115">IF(AND(AR69="Preventivo",AS69="Automático"),"50%",IF(AND(AR69="Preventivo",AS69="Manual"),"40%",IF(AND(AR69="Detectivo",AS69="Automático"),"40%",IF(AND(AR69="Detectivo",AS69="Manual"),"30%",IF(AND(AR69="Correctivo",AS69="Automático"),"35%",IF(AND(AR69="Correctivo",AS69="Manual"),"25%",""))))))</f>
        <v>40%</v>
      </c>
      <c r="AU69" s="134" t="s">
        <v>176</v>
      </c>
      <c r="AV69" s="134" t="s">
        <v>181</v>
      </c>
      <c r="AW69" s="134" t="s">
        <v>185</v>
      </c>
      <c r="AX69" s="136">
        <f>IFERROR(IF(AQ69="Probabilidad",(M69-(+M69*AT69)),IF(AQ69="Impacto",M69,"")),"")</f>
        <v>0.36</v>
      </c>
      <c r="AY69" s="137" t="str">
        <f t="shared" ref="AY69:AY70" si="116">IFERROR(IF(AX69="","",IF(AX69&lt;=0.2,"Muy Baja",IF(AX69&lt;=0.4,"Baja",IF(AX69&lt;=0.6,"Media",IF(AX69&lt;=0.8,"Alta","Muy Alta"))))),"")</f>
        <v>Baja</v>
      </c>
      <c r="AZ69" s="135">
        <f t="shared" ref="AZ69:AZ70" si="117">+AX69</f>
        <v>0.36</v>
      </c>
      <c r="BA69" s="137" t="str">
        <f t="shared" ref="BA69:BA70" ca="1" si="118">IFERROR(IF(BB69="","",IF(BB69&lt;=0.2,"Leve",IF(BB69&lt;=0.4,"Menor",IF(BB69&lt;=0.6,"Moderado",IF(BB69&lt;=0.8,"Mayor","Catastrófico"))))),"")</f>
        <v>Menor</v>
      </c>
      <c r="BB69" s="135">
        <f ca="1">IFERROR(IF(AQ69="Impacto",(AJ69-(+AJ69*AT69)),IF(AQ69="Probabilidad",AJ69,"")),"")</f>
        <v>0.4</v>
      </c>
      <c r="BC69" s="138" t="str">
        <f t="shared" ref="BC69:BC70" ca="1" si="119">IFERROR(IF(OR(AND(AY69="Muy Baja",BA69="Leve"),AND(AY69="Muy Baja",BA69="Menor"),AND(AY69="Baja",BA69="Leve")),"Bajo",IF(OR(AND(AY69="Muy baja",BA69="Moderado"),AND(AY69="Baja",BA69="Menor"),AND(AY69="Baja",BA69="Moderado"),AND(AY69="Media",BA69="Leve"),AND(AY69="Media",BA69="Menor"),AND(AY69="Media",BA69="Moderado"),AND(AY69="Alta",BA69="Leve"),AND(AY69="Alta",BA69="Menor")),"Moderado",IF(OR(AND(AY69="Muy Baja",BA69="Mayor"),AND(AY69="Baja",BA69="Mayor"),AND(AY69="Media",BA69="Mayor"),AND(AY69="Alta",BA69="Moderado"),AND(AY69="Alta",BA69="Mayor"),AND(AY69="Muy Alta",BA69="Leve"),AND(AY69="Muy Alta",BA69="Menor"),AND(AY69="Muy Alta",BA69="Moderado"),AND(AY69="Muy Alta",BA69="Mayor")),"Alto",IF(OR(AND(AY69="Muy Baja",BA69="Catastrófico"),AND(AY69="Baja",BA69="Catastrófico"),AND(AY69="Media",BA69="Catastrófico"),AND(AY69="Alta",BA69="Catastrófico"),AND(AY69="Muy Alta",BA69="Catastrófico")),"Extremo","")))),"")</f>
        <v>Moderado</v>
      </c>
      <c r="BD69" s="134" t="s">
        <v>196</v>
      </c>
      <c r="BE69" s="120"/>
      <c r="BF69" s="127"/>
      <c r="BG69" s="139"/>
      <c r="BH69" s="139"/>
      <c r="BI69" s="120"/>
      <c r="BJ69" s="127"/>
      <c r="BK69" s="18"/>
      <c r="BL69" s="18"/>
      <c r="BM69" s="18"/>
      <c r="BN69" s="18"/>
      <c r="BO69" s="18"/>
      <c r="BP69" s="18"/>
      <c r="BQ69" s="18"/>
      <c r="BR69" s="18"/>
      <c r="BS69" s="18"/>
      <c r="BT69" s="18"/>
      <c r="BU69" s="18"/>
      <c r="BV69" s="18"/>
      <c r="BW69" s="18"/>
      <c r="BX69" s="18"/>
      <c r="BY69" s="18"/>
      <c r="BZ69" s="18"/>
      <c r="CA69" s="18"/>
      <c r="CB69" s="18"/>
      <c r="CC69" s="18"/>
      <c r="CD69" s="18"/>
    </row>
    <row r="70" spans="1:82" ht="69" customHeight="1" x14ac:dyDescent="0.3">
      <c r="A70" s="184"/>
      <c r="B70" s="184"/>
      <c r="C70" s="186"/>
      <c r="D70" s="186"/>
      <c r="E70" s="186"/>
      <c r="F70" s="189"/>
      <c r="G70" s="189"/>
      <c r="H70" s="186"/>
      <c r="I70" s="186"/>
      <c r="J70" s="186"/>
      <c r="K70" s="186"/>
      <c r="L70" s="186"/>
      <c r="M70" s="186"/>
      <c r="N70" s="186"/>
      <c r="O70" s="186"/>
      <c r="P70" s="130"/>
      <c r="Q70" s="130"/>
      <c r="R70" s="130"/>
      <c r="S70" s="130"/>
      <c r="T70" s="130"/>
      <c r="U70" s="140"/>
      <c r="V70" s="140"/>
      <c r="W70" s="140"/>
      <c r="X70" s="140"/>
      <c r="Y70" s="140"/>
      <c r="Z70" s="140"/>
      <c r="AA70" s="140"/>
      <c r="AB70" s="140"/>
      <c r="AC70" s="140"/>
      <c r="AD70" s="130"/>
      <c r="AE70" s="130"/>
      <c r="AF70" s="130"/>
      <c r="AG70" s="130"/>
      <c r="AH70" s="130"/>
      <c r="AI70" s="186"/>
      <c r="AJ70" s="186"/>
      <c r="AK70" s="186"/>
      <c r="AL70" s="127">
        <v>2</v>
      </c>
      <c r="AM70" s="127"/>
      <c r="AN70" s="127" t="e">
        <f>VLOOKUP(AM70,'Opciones Tratamiento'!$M$2:$O$37,3,FALSE)</f>
        <v>#N/A</v>
      </c>
      <c r="AO70" s="132" t="e">
        <f>VLOOKUP(AM70,'Opciones Tratamiento'!$M$2:$O$37,2,FALSE)</f>
        <v>#N/A</v>
      </c>
      <c r="AP70" s="133" t="s">
        <v>515</v>
      </c>
      <c r="AQ70" s="127" t="str">
        <f t="shared" si="114"/>
        <v>Probabilidad</v>
      </c>
      <c r="AR70" s="134" t="s">
        <v>165</v>
      </c>
      <c r="AS70" s="134" t="s">
        <v>173</v>
      </c>
      <c r="AT70" s="135" t="str">
        <f t="shared" si="115"/>
        <v>40%</v>
      </c>
      <c r="AU70" s="134" t="s">
        <v>176</v>
      </c>
      <c r="AV70" s="134" t="s">
        <v>181</v>
      </c>
      <c r="AW70" s="134" t="s">
        <v>185</v>
      </c>
      <c r="AX70" s="136">
        <f>IFERROR(IF(AND(AQ69="Probabilidad",AQ70="Probabilidad"),(AZ69-(+AZ69*AT70)),IF(AQ70="Probabilidad",(M69-(+M69*AT70)),IF(AQ70="Impacto",AZ69,""))),"")</f>
        <v>0.216</v>
      </c>
      <c r="AY70" s="137" t="str">
        <f t="shared" si="116"/>
        <v>Baja</v>
      </c>
      <c r="AZ70" s="135">
        <f t="shared" si="117"/>
        <v>0.216</v>
      </c>
      <c r="BA70" s="137" t="str">
        <f t="shared" si="118"/>
        <v>Menor</v>
      </c>
      <c r="BB70" s="135">
        <v>0.4</v>
      </c>
      <c r="BC70" s="138" t="str">
        <f t="shared" si="119"/>
        <v>Moderado</v>
      </c>
      <c r="BD70" s="134" t="s">
        <v>190</v>
      </c>
      <c r="BE70" s="120"/>
      <c r="BF70" s="127"/>
      <c r="BG70" s="139"/>
      <c r="BH70" s="139"/>
      <c r="BI70" s="120"/>
      <c r="BJ70" s="127"/>
      <c r="BK70" s="24"/>
      <c r="BL70" s="24"/>
      <c r="BM70" s="24"/>
      <c r="BN70" s="24"/>
      <c r="BO70" s="24"/>
      <c r="BP70" s="24"/>
      <c r="BQ70" s="24"/>
      <c r="BR70" s="24"/>
      <c r="BS70" s="24"/>
      <c r="BT70" s="24"/>
      <c r="BU70" s="24"/>
      <c r="BV70" s="24"/>
      <c r="BW70" s="24"/>
      <c r="BX70" s="24"/>
      <c r="BY70" s="24"/>
      <c r="BZ70" s="24"/>
      <c r="CA70" s="24"/>
      <c r="CB70" s="24"/>
      <c r="CC70" s="24"/>
      <c r="CD70" s="24"/>
    </row>
    <row r="71" spans="1:82" ht="97.5" customHeight="1" x14ac:dyDescent="0.3">
      <c r="A71" s="183">
        <v>27</v>
      </c>
      <c r="B71" s="183" t="s">
        <v>417</v>
      </c>
      <c r="C71" s="183" t="s">
        <v>193</v>
      </c>
      <c r="D71" s="183" t="s">
        <v>217</v>
      </c>
      <c r="E71" s="183"/>
      <c r="F71" s="189" t="s">
        <v>516</v>
      </c>
      <c r="G71" s="189" t="s">
        <v>517</v>
      </c>
      <c r="H71" s="183" t="str">
        <f>_xlfn.CONCAT("Posibilidad de afectación ",IF(C71='Opciones Tratamiento'!$E$2,"económica",IF(C71='Opciones Tratamiento'!$E$4,"económica y reputacional",LOWER(C71)))," por ",LOWER(F71), ", debido a ",LOWER(G71))</f>
        <v>Posibilidad de afectación reputacional por demoras en la ejecución de los procedimientos disciplinarios que ocasionen vencimiento en los términos de ley, debido a indebida aplicación de las normas  sustantivas y procesales  modificatorias en las actuaciones disciplinarias,  incumplimiento de procedimientos internos,  indebido recaudo probatorio e indebida sustanciación de las actuaciones disciplinarias</v>
      </c>
      <c r="I71" s="183" t="s">
        <v>201</v>
      </c>
      <c r="J71" s="185" t="s">
        <v>231</v>
      </c>
      <c r="K71" s="185" t="s">
        <v>248</v>
      </c>
      <c r="L71" s="187" t="str">
        <f>IF(OR(K71='Opciones Tratamiento'!$K$14,K71='Opciones Tratamiento'!$K$15,K71='Opciones Tratamiento'!$K$16),"Muy Baja",IF(OR(K71='Opciones Tratamiento'!$K$10,K71='Opciones Tratamiento'!$K$11,K71='Opciones Tratamiento'!$K$12,K71='Opciones Tratamiento'!$K$13),"Baja",IF(OR(K71='Opciones Tratamiento'!$K$4,K71='Opciones Tratamiento'!$K$5,K71='Opciones Tratamiento'!$K$6,K71='Opciones Tratamiento'!$K$7,K71='Opciones Tratamiento'!$K$8,K71='Opciones Tratamiento'!$K$9),"Media",IF(K71='Opciones Tratamiento'!$K$3,"Alta",IF(OR(K71='Opciones Tratamiento'!$K$2,K71='Opciones Tratamiento'!$K$17),"Muy Alta")))))</f>
        <v>Baja</v>
      </c>
      <c r="M71" s="188">
        <f>IF(L71="","",IF(L71="Muy Baja",0.2,IF(L71="Baja",0.4,IF(L71="Media",0.6,IF(L71="Alta",0.8,IF(L71="Muy Alta",1,))))))</f>
        <v>0.4</v>
      </c>
      <c r="N71" s="188" t="s">
        <v>149</v>
      </c>
      <c r="O71" s="188" t="str">
        <f ca="1">IF(NOT(ISERROR(MATCH(N71,'Tabla Impacto'!$B$221:$B$223,0))),'Tabla Impacto'!$F$223&amp;"Por favor no seleccionar los criterios de impacto(Afectación Económica o presupuestal y Pérdida Reputacional)",N71)</f>
        <v xml:space="preserve">     El riesgo afecta la imagen de la entidad con algunos usuarios de relevancia frente al logro de los objetivos</v>
      </c>
      <c r="P71" s="130"/>
      <c r="Q71" s="130"/>
      <c r="R71" s="130"/>
      <c r="S71" s="130"/>
      <c r="T71" s="130"/>
      <c r="U71" s="140"/>
      <c r="V71" s="140"/>
      <c r="W71" s="140"/>
      <c r="X71" s="140"/>
      <c r="Y71" s="140"/>
      <c r="Z71" s="140"/>
      <c r="AA71" s="140"/>
      <c r="AB71" s="140"/>
      <c r="AC71" s="140"/>
      <c r="AD71" s="130"/>
      <c r="AE71" s="130"/>
      <c r="AF71" s="130"/>
      <c r="AG71" s="130"/>
      <c r="AH71" s="130"/>
      <c r="AI71" s="187" t="str">
        <f ca="1">IF(OR(D71='Opciones Tratamiento'!$H$2,D71='Opciones Tratamiento'!$H$4),IF(OR(O71='Tabla Impacto'!$C$11,O71='Tabla Impacto'!$D$11),"Leve",IF(OR(O71='Tabla Impacto'!$C$12,O71='Tabla Impacto'!$D$12),"Menor",IF(OR(O71='Tabla Impacto'!$C$13,O71='Tabla Impacto'!$D$13),"Moderado",IF(OR(O71='Tabla Impacto'!$C$14,O71='Tabla Impacto'!$D$14),"Mayor",IF(OR(O71='Tabla Impacto'!$C$15,O71='Tabla Impacto'!$D$15),"Catastrófico",""))))),IF(D71='Opciones Tratamiento'!$H$3,IF(COUNTIF('Mapa final'!P71:AH71,"Si")&lt;=5,"Moderado",IF(AND(COUNTIF('Mapa final'!P71:AH71,"Si")&gt;5,COUNTIF('Mapa final'!P71:AH71,"Si")&lt;=10),"Mayor",IF(COUNTIF('Mapa final'!P71:AH71,"Si")&gt;10,"Catastrófico","")))))</f>
        <v>Moderado</v>
      </c>
      <c r="AJ71" s="188">
        <f ca="1">IF(AI71="","",IF(AI71="Leve",0.2,IF(AI71="Menor",0.4,IF(AI71="Moderado",0.6,IF(AI71="Mayor",0.8,IF(AI71="Catastrófico",1,))))))</f>
        <v>0.6</v>
      </c>
      <c r="AK71" s="190" t="str">
        <f ca="1">IF(OR(AND(L71="Muy Baja",AI71="Leve"),AND(L71="Muy Baja",AI71="Menor"),AND(L71="Baja",AI71="Leve")),"Bajo",IF(OR(AND(L71="Muy baja",AI71="Moderado"),AND(L71="Baja",AI71="Menor"),AND(L71="Baja",AI71="Moderado"),AND(L71="Media",AI71="Leve"),AND(L71="Media",AI71="Menor"),AND(L71="Media",AI71="Moderado"),AND(L71="Alta",AI71="Leve"),AND(L71="Alta",AI71="Menor")),"Moderado",IF(OR(AND(L71="Muy Baja",AI71="Mayor"),AND(L71="Baja",AI71="Mayor"),AND(L71="Media",AI71="Mayor"),AND(L71="Alta",AI71="Moderado"),AND(L71="Alta",AI71="Mayor"),AND(L71="Muy Alta",AI71="Leve"),AND(L71="Muy Alta",AI71="Menor"),AND(L71="Muy Alta",AI71="Moderado"),AND(L71="Muy Alta",AI71="Mayor")),"Alto",IF(OR(AND(L71="Muy Baja",AI71="Catastrófico"),AND(L71="Baja",AI71="Catastrófico"),AND(L71="Media",AI71="Catastrófico"),AND(L71="Alta",AI71="Catastrófico"),AND(L71="Muy Alta",AI71="Catastrófico")),"Extremo",""))))</f>
        <v>Moderado</v>
      </c>
      <c r="AL71" s="127">
        <v>1</v>
      </c>
      <c r="AM71" s="127"/>
      <c r="AN71" s="127" t="e">
        <f>VLOOKUP(AM71,'Opciones Tratamiento'!$M$2:$O$37,3,FALSE)</f>
        <v>#N/A</v>
      </c>
      <c r="AO71" s="132" t="e">
        <f>VLOOKUP(AM71,'Opciones Tratamiento'!$M$2:$O$37,2,FALSE)</f>
        <v>#N/A</v>
      </c>
      <c r="AP71" s="133" t="s">
        <v>518</v>
      </c>
      <c r="AQ71" s="127" t="str">
        <f t="shared" ref="AQ71:AQ72" si="120">IF(OR(AR71="Preventivo",AR71="Detectivo"),"Probabilidad",IF(AR71="Correctivo","Impacto",""))</f>
        <v>Probabilidad</v>
      </c>
      <c r="AR71" s="134" t="s">
        <v>165</v>
      </c>
      <c r="AS71" s="134" t="s">
        <v>173</v>
      </c>
      <c r="AT71" s="135" t="str">
        <f t="shared" ref="AT71:AT72" si="121">IF(AND(AR71="Preventivo",AS71="Automático"),"50%",IF(AND(AR71="Preventivo",AS71="Manual"),"40%",IF(AND(AR71="Detectivo",AS71="Automático"),"40%",IF(AND(AR71="Detectivo",AS71="Manual"),"30%",IF(AND(AR71="Correctivo",AS71="Automático"),"35%",IF(AND(AR71="Correctivo",AS71="Manual"),"25%",""))))))</f>
        <v>40%</v>
      </c>
      <c r="AU71" s="134" t="s">
        <v>179</v>
      </c>
      <c r="AV71" s="134" t="s">
        <v>181</v>
      </c>
      <c r="AW71" s="134" t="s">
        <v>187</v>
      </c>
      <c r="AX71" s="136">
        <f>IFERROR(IF(AQ71="Probabilidad",(M71-(+M71*AT71)),IF(AQ71="Impacto",M71,"")),"")</f>
        <v>0.24</v>
      </c>
      <c r="AY71" s="137" t="str">
        <f t="shared" ref="AY71:AY72" si="122">IFERROR(IF(AX71="","",IF(AX71&lt;=0.2,"Muy Baja",IF(AX71&lt;=0.4,"Baja",IF(AX71&lt;=0.6,"Media",IF(AX71&lt;=0.8,"Alta","Muy Alta"))))),"")</f>
        <v>Baja</v>
      </c>
      <c r="AZ71" s="135">
        <f t="shared" ref="AZ71:AZ72" si="123">+AX71</f>
        <v>0.24</v>
      </c>
      <c r="BA71" s="137" t="str">
        <f t="shared" ref="BA71:BA72" ca="1" si="124">IFERROR(IF(BB71="","",IF(BB71&lt;=0.2,"Leve",IF(BB71&lt;=0.4,"Menor",IF(BB71&lt;=0.6,"Moderado",IF(BB71&lt;=0.8,"Mayor","Catastrófico"))))),"")</f>
        <v>Moderado</v>
      </c>
      <c r="BB71" s="135">
        <f ca="1">IFERROR(IF(AQ71="Impacto",(AJ71-(+AJ71*AT71)),IF(AQ71="Probabilidad",AJ71,"")),"")</f>
        <v>0.6</v>
      </c>
      <c r="BC71" s="138" t="str">
        <f t="shared" ref="BC71:BC72" ca="1" si="125">IFERROR(IF(OR(AND(AY71="Muy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Moderado</v>
      </c>
      <c r="BD71" s="134" t="s">
        <v>196</v>
      </c>
      <c r="BE71" s="120" t="s">
        <v>520</v>
      </c>
      <c r="BF71" s="127" t="s">
        <v>521</v>
      </c>
      <c r="BG71" s="139">
        <v>45230</v>
      </c>
      <c r="BH71" s="139">
        <v>45245</v>
      </c>
      <c r="BI71" s="120"/>
      <c r="BJ71" s="127"/>
      <c r="BK71" s="18"/>
      <c r="BL71" s="18"/>
      <c r="BM71" s="18"/>
      <c r="BN71" s="18"/>
      <c r="BO71" s="18"/>
      <c r="BP71" s="18"/>
      <c r="BQ71" s="18"/>
      <c r="BR71" s="18"/>
      <c r="BS71" s="18"/>
      <c r="BT71" s="18"/>
      <c r="BU71" s="18"/>
      <c r="BV71" s="18"/>
      <c r="BW71" s="18"/>
      <c r="BX71" s="18"/>
      <c r="BY71" s="18"/>
      <c r="BZ71" s="18"/>
      <c r="CA71" s="18"/>
      <c r="CB71" s="18"/>
      <c r="CC71" s="18"/>
      <c r="CD71" s="18"/>
    </row>
    <row r="72" spans="1:82" ht="97.5" customHeight="1" x14ac:dyDescent="0.3">
      <c r="A72" s="184"/>
      <c r="B72" s="184"/>
      <c r="C72" s="186"/>
      <c r="D72" s="186"/>
      <c r="E72" s="186"/>
      <c r="F72" s="189"/>
      <c r="G72" s="189"/>
      <c r="H72" s="186"/>
      <c r="I72" s="186"/>
      <c r="J72" s="186"/>
      <c r="K72" s="186"/>
      <c r="L72" s="186"/>
      <c r="M72" s="186"/>
      <c r="N72" s="186"/>
      <c r="O72" s="186"/>
      <c r="P72" s="130"/>
      <c r="Q72" s="130"/>
      <c r="R72" s="130"/>
      <c r="S72" s="130"/>
      <c r="T72" s="130"/>
      <c r="U72" s="140"/>
      <c r="V72" s="140"/>
      <c r="W72" s="140"/>
      <c r="X72" s="140"/>
      <c r="Y72" s="140"/>
      <c r="Z72" s="140"/>
      <c r="AA72" s="140"/>
      <c r="AB72" s="140"/>
      <c r="AC72" s="140"/>
      <c r="AD72" s="130"/>
      <c r="AE72" s="130"/>
      <c r="AF72" s="130"/>
      <c r="AG72" s="130"/>
      <c r="AH72" s="130"/>
      <c r="AI72" s="186"/>
      <c r="AJ72" s="186"/>
      <c r="AK72" s="186"/>
      <c r="AL72" s="127">
        <v>2</v>
      </c>
      <c r="AM72" s="127"/>
      <c r="AN72" s="127" t="e">
        <f>VLOOKUP(AM72,'Opciones Tratamiento'!$M$2:$O$37,3,FALSE)</f>
        <v>#N/A</v>
      </c>
      <c r="AO72" s="132" t="e">
        <f>VLOOKUP(AM72,'Opciones Tratamiento'!$M$2:$O$37,2,FALSE)</f>
        <v>#N/A</v>
      </c>
      <c r="AP72" s="133" t="s">
        <v>519</v>
      </c>
      <c r="AQ72" s="127" t="str">
        <f t="shared" si="120"/>
        <v>Probabilidad</v>
      </c>
      <c r="AR72" s="134" t="s">
        <v>165</v>
      </c>
      <c r="AS72" s="134" t="s">
        <v>173</v>
      </c>
      <c r="AT72" s="135" t="str">
        <f t="shared" si="121"/>
        <v>40%</v>
      </c>
      <c r="AU72" s="134" t="s">
        <v>179</v>
      </c>
      <c r="AV72" s="134" t="s">
        <v>181</v>
      </c>
      <c r="AW72" s="134" t="s">
        <v>185</v>
      </c>
      <c r="AX72" s="136">
        <f>IFERROR(IF(AND(AQ71="Probabilidad",AQ72="Probabilidad"),(AZ71-(+AZ71*AT72)),IF(AQ72="Probabilidad",(M71-(+M71*AT72)),IF(AQ72="Impacto",AZ71,""))),"")</f>
        <v>0.14399999999999999</v>
      </c>
      <c r="AY72" s="137" t="str">
        <f t="shared" si="122"/>
        <v>Muy Baja</v>
      </c>
      <c r="AZ72" s="135">
        <f t="shared" si="123"/>
        <v>0.14399999999999999</v>
      </c>
      <c r="BA72" s="137" t="str">
        <f t="shared" si="124"/>
        <v>Moderado</v>
      </c>
      <c r="BB72" s="135">
        <v>0.6</v>
      </c>
      <c r="BC72" s="138" t="str">
        <f t="shared" si="125"/>
        <v>Moderado</v>
      </c>
      <c r="BD72" s="134" t="s">
        <v>196</v>
      </c>
      <c r="BE72" s="120" t="s">
        <v>520</v>
      </c>
      <c r="BF72" s="127" t="s">
        <v>521</v>
      </c>
      <c r="BG72" s="139">
        <v>45230</v>
      </c>
      <c r="BH72" s="139">
        <v>45245</v>
      </c>
      <c r="BI72" s="120"/>
      <c r="BJ72" s="127"/>
      <c r="BK72" s="24"/>
      <c r="BL72" s="24"/>
      <c r="BM72" s="24"/>
      <c r="BN72" s="24"/>
      <c r="BO72" s="24"/>
      <c r="BP72" s="24"/>
      <c r="BQ72" s="24"/>
      <c r="BR72" s="24"/>
      <c r="BS72" s="24"/>
      <c r="BT72" s="24"/>
      <c r="BU72" s="24"/>
      <c r="BV72" s="24"/>
      <c r="BW72" s="24"/>
      <c r="BX72" s="24"/>
      <c r="BY72" s="24"/>
      <c r="BZ72" s="24"/>
      <c r="CA72" s="24"/>
      <c r="CB72" s="24"/>
      <c r="CC72" s="24"/>
      <c r="CD72" s="24"/>
    </row>
    <row r="73" spans="1:82" ht="151.5" customHeight="1" x14ac:dyDescent="0.3">
      <c r="A73" s="120">
        <v>28</v>
      </c>
      <c r="B73" s="120" t="s">
        <v>417</v>
      </c>
      <c r="C73" s="120" t="s">
        <v>193</v>
      </c>
      <c r="D73" s="120" t="s">
        <v>217</v>
      </c>
      <c r="E73" s="120"/>
      <c r="F73" s="120" t="s">
        <v>522</v>
      </c>
      <c r="G73" s="120" t="s">
        <v>601</v>
      </c>
      <c r="H73" s="120" t="str">
        <f>_xlfn.CONCAT("Posibilidad de afectación ",IF(C73='Opciones Tratamiento'!$E$2,"económica",IF(C73='Opciones Tratamiento'!$E$4,"económica y reputacional",LOWER(C73)))," por ",LOWER(F73), ", debido a ",LOWER(G73))</f>
        <v>Posibilidad de afectación reputacional por adopción de decisiones contrarias frente a la situación objeto de conocimiento que conlleven a nulidad total o parcial  del proceso disciplinario, debido a indebida aplicación de las normas  sustantivas y procesales  modificatorias en las actuaciones disciplinarias e incumplimiento de procedimientos internos, indebido recaudo probatorio, indebida sustanciación de las actuaciones disciplinaria</v>
      </c>
      <c r="I73" s="120" t="s">
        <v>201</v>
      </c>
      <c r="J73" s="127" t="s">
        <v>231</v>
      </c>
      <c r="K73" s="127" t="s">
        <v>248</v>
      </c>
      <c r="L73" s="129" t="str">
        <f>IF(OR(K73='Opciones Tratamiento'!$K$14,K73='Opciones Tratamiento'!$K$15,K73='Opciones Tratamiento'!$K$16),"Muy Baja",IF(OR(K73='Opciones Tratamiento'!$K$10,K73='Opciones Tratamiento'!$K$11,K73='Opciones Tratamiento'!$K$12,K73='Opciones Tratamiento'!$K$13),"Baja",IF(OR(K73='Opciones Tratamiento'!$K$4,K73='Opciones Tratamiento'!$K$5,K73='Opciones Tratamiento'!$K$6,K73='Opciones Tratamiento'!$K$7,K73='Opciones Tratamiento'!$K$8,K73='Opciones Tratamiento'!$K$9),"Media",IF(K73='Opciones Tratamiento'!$K$3,"Alta",IF(OR(K73='Opciones Tratamiento'!$K$2,K73='Opciones Tratamiento'!$K$17),"Muy Alta")))))</f>
        <v>Baja</v>
      </c>
      <c r="M73" s="130">
        <f>IF(L73="","",IF(L73="Muy Baja",0.2,IF(L73="Baja",0.4,IF(L73="Media",0.6,IF(L73="Alta",0.8,IF(L73="Muy Alta",1,))))))</f>
        <v>0.4</v>
      </c>
      <c r="N73" s="130" t="s">
        <v>149</v>
      </c>
      <c r="O73" s="130" t="str">
        <f ca="1">IF(NOT(ISERROR(MATCH(N73,'Tabla Impacto'!$B$221:$B$223,0))),'Tabla Impacto'!$F$223&amp;"Por favor no seleccionar los criterios de impacto(Afectación Económica o presupuestal y Pérdida Reputacional)",N73)</f>
        <v xml:space="preserve">     El riesgo afecta la imagen de la entidad con algunos usuarios de relevancia frente al logro de los objetivos</v>
      </c>
      <c r="P73" s="130"/>
      <c r="Q73" s="130"/>
      <c r="R73" s="130"/>
      <c r="S73" s="130"/>
      <c r="T73" s="130"/>
      <c r="U73" s="140"/>
      <c r="V73" s="140"/>
      <c r="W73" s="140"/>
      <c r="X73" s="140"/>
      <c r="Y73" s="140"/>
      <c r="Z73" s="140"/>
      <c r="AA73" s="140"/>
      <c r="AB73" s="140"/>
      <c r="AC73" s="140"/>
      <c r="AD73" s="130"/>
      <c r="AE73" s="130"/>
      <c r="AF73" s="130"/>
      <c r="AG73" s="130"/>
      <c r="AH73" s="130"/>
      <c r="AI73" s="129" t="str">
        <f ca="1">IF(OR(D73='Opciones Tratamiento'!$H$2,D73='Opciones Tratamiento'!$H$4),IF(OR(O73='Tabla Impacto'!$C$11,O73='Tabla Impacto'!$D$11),"Leve",IF(OR(O73='Tabla Impacto'!$C$12,O73='Tabla Impacto'!$D$12),"Menor",IF(OR(O73='Tabla Impacto'!$C$13,O73='Tabla Impacto'!$D$13),"Moderado",IF(OR(O73='Tabla Impacto'!$C$14,O73='Tabla Impacto'!$D$14),"Mayor",IF(OR(O73='Tabla Impacto'!$C$15,O73='Tabla Impacto'!$D$15),"Catastrófico",""))))),IF(D73='Opciones Tratamiento'!$H$3,IF(COUNTIF('Mapa final'!P73:AH73,"Si")&lt;=5,"Moderado",IF(AND(COUNTIF('Mapa final'!P73:AH73,"Si")&gt;5,COUNTIF('Mapa final'!P73:AH73,"Si")&lt;=10),"Mayor",IF(COUNTIF('Mapa final'!P73:AH73,"Si")&gt;10,"Catastrófico","")))))</f>
        <v>Moderado</v>
      </c>
      <c r="AJ73" s="130">
        <f ca="1">IF(AI73="","",IF(AI73="Leve",0.2,IF(AI73="Menor",0.4,IF(AI73="Moderado",0.6,IF(AI73="Mayor",0.8,IF(AI73="Catastrófico",1,))))))</f>
        <v>0.6</v>
      </c>
      <c r="AK73" s="131" t="str">
        <f ca="1">IF(OR(AND(L73="Muy Baja",AI73="Leve"),AND(L73="Muy Baja",AI73="Menor"),AND(L73="Baja",AI73="Leve")),"Bajo",IF(OR(AND(L73="Muy baja",AI73="Moderado"),AND(L73="Baja",AI73="Menor"),AND(L73="Baja",AI73="Moderado"),AND(L73="Media",AI73="Leve"),AND(L73="Media",AI73="Menor"),AND(L73="Media",AI73="Moderado"),AND(L73="Alta",AI73="Leve"),AND(L73="Alta",AI73="Menor")),"Moderado",IF(OR(AND(L73="Muy Baja",AI73="Mayor"),AND(L73="Baja",AI73="Mayor"),AND(L73="Media",AI73="Mayor"),AND(L73="Alta",AI73="Moderado"),AND(L73="Alta",AI73="Mayor"),AND(L73="Muy Alta",AI73="Leve"),AND(L73="Muy Alta",AI73="Menor"),AND(L73="Muy Alta",AI73="Moderado"),AND(L73="Muy Alta",AI73="Mayor")),"Alto",IF(OR(AND(L73="Muy Baja",AI73="Catastrófico"),AND(L73="Baja",AI73="Catastrófico"),AND(L73="Media",AI73="Catastrófico"),AND(L73="Alta",AI73="Catastrófico"),AND(L73="Muy Alta",AI73="Catastrófico")),"Extremo",""))))</f>
        <v>Moderado</v>
      </c>
      <c r="AL73" s="127">
        <v>1</v>
      </c>
      <c r="AM73" s="127"/>
      <c r="AN73" s="127" t="e">
        <f>VLOOKUP(AM73,'Opciones Tratamiento'!$M$2:$O$37,3,FALSE)</f>
        <v>#N/A</v>
      </c>
      <c r="AO73" s="132" t="e">
        <f>VLOOKUP(AM73,'Opciones Tratamiento'!$M$2:$O$37,2,FALSE)</f>
        <v>#N/A</v>
      </c>
      <c r="AP73" s="132" t="s">
        <v>602</v>
      </c>
      <c r="AQ73" s="127" t="str">
        <f t="shared" ref="AQ73" si="126">IF(OR(AR73="Preventivo",AR73="Detectivo"),"Probabilidad",IF(AR73="Correctivo","Impacto",""))</f>
        <v>Probabilidad</v>
      </c>
      <c r="AR73" s="134" t="s">
        <v>165</v>
      </c>
      <c r="AS73" s="134" t="s">
        <v>173</v>
      </c>
      <c r="AT73" s="135" t="str">
        <f t="shared" ref="AT73" si="127">IF(AND(AR73="Preventivo",AS73="Automático"),"50%",IF(AND(AR73="Preventivo",AS73="Manual"),"40%",IF(AND(AR73="Detectivo",AS73="Automático"),"40%",IF(AND(AR73="Detectivo",AS73="Manual"),"30%",IF(AND(AR73="Correctivo",AS73="Automático"),"35%",IF(AND(AR73="Correctivo",AS73="Manual"),"25%",""))))))</f>
        <v>40%</v>
      </c>
      <c r="AU73" s="134" t="s">
        <v>179</v>
      </c>
      <c r="AV73" s="134" t="s">
        <v>181</v>
      </c>
      <c r="AW73" s="134" t="s">
        <v>185</v>
      </c>
      <c r="AX73" s="136">
        <f>IFERROR(IF(AQ73="Probabilidad",(M73-(+M73*AT73)),IF(AQ73="Impacto",M73,"")),"")</f>
        <v>0.24</v>
      </c>
      <c r="AY73" s="137" t="str">
        <f t="shared" ref="AY73" si="128">IFERROR(IF(AX73="","",IF(AX73&lt;=0.2,"Muy Baja",IF(AX73&lt;=0.4,"Baja",IF(AX73&lt;=0.6,"Media",IF(AX73&lt;=0.8,"Alta","Muy Alta"))))),"")</f>
        <v>Baja</v>
      </c>
      <c r="AZ73" s="135">
        <f t="shared" ref="AZ73" si="129">+AX73</f>
        <v>0.24</v>
      </c>
      <c r="BA73" s="137" t="str">
        <f t="shared" ref="BA73" ca="1" si="130">IFERROR(IF(BB73="","",IF(BB73&lt;=0.2,"Leve",IF(BB73&lt;=0.4,"Menor",IF(BB73&lt;=0.6,"Moderado",IF(BB73&lt;=0.8,"Mayor","Catastrófico"))))),"")</f>
        <v>Moderado</v>
      </c>
      <c r="BB73" s="135">
        <f ca="1">IFERROR(IF(AQ73="Impacto",(AJ73-(+AJ73*AT73)),IF(AQ73="Probabilidad",AJ73,"")),"")</f>
        <v>0.6</v>
      </c>
      <c r="BC73" s="138" t="str">
        <f t="shared" ref="BC73" ca="1" si="131">IFERROR(IF(OR(AND(AY73="Muy Baja",BA73="Leve"),AND(AY73="Muy Baja",BA73="Menor"),AND(AY73="Baja",BA73="Leve")),"Bajo",IF(OR(AND(AY73="Muy baja",BA73="Moderado"),AND(AY73="Baja",BA73="Menor"),AND(AY73="Baja",BA73="Moderado"),AND(AY73="Media",BA73="Leve"),AND(AY73="Media",BA73="Menor"),AND(AY73="Media",BA73="Moderado"),AND(AY73="Alta",BA73="Leve"),AND(AY73="Alta",BA73="Menor")),"Moderado",IF(OR(AND(AY73="Muy Baja",BA73="Mayor"),AND(AY73="Baja",BA73="Mayor"),AND(AY73="Media",BA73="Mayor"),AND(AY73="Alta",BA73="Moderado"),AND(AY73="Alta",BA73="Mayor"),AND(AY73="Muy Alta",BA73="Leve"),AND(AY73="Muy Alta",BA73="Menor"),AND(AY73="Muy Alta",BA73="Moderado"),AND(AY73="Muy Alta",BA73="Mayor")),"Alto",IF(OR(AND(AY73="Muy Baja",BA73="Catastrófico"),AND(AY73="Baja",BA73="Catastrófico"),AND(AY73="Media",BA73="Catastrófico"),AND(AY73="Alta",BA73="Catastrófico"),AND(AY73="Muy Alta",BA73="Catastrófico")),"Extremo","")))),"")</f>
        <v>Moderado</v>
      </c>
      <c r="BD73" s="134" t="s">
        <v>196</v>
      </c>
      <c r="BE73" s="120" t="s">
        <v>520</v>
      </c>
      <c r="BF73" s="127" t="s">
        <v>521</v>
      </c>
      <c r="BG73" s="139">
        <v>45230</v>
      </c>
      <c r="BH73" s="139">
        <v>45245</v>
      </c>
      <c r="BI73" s="120"/>
      <c r="BJ73" s="127"/>
      <c r="BK73" s="18"/>
      <c r="BL73" s="18"/>
      <c r="BM73" s="18"/>
      <c r="BN73" s="18"/>
      <c r="BO73" s="18"/>
      <c r="BP73" s="18"/>
      <c r="BQ73" s="18"/>
      <c r="BR73" s="18"/>
      <c r="BS73" s="18"/>
      <c r="BT73" s="18"/>
      <c r="BU73" s="18"/>
      <c r="BV73" s="18"/>
      <c r="BW73" s="18"/>
      <c r="BX73" s="18"/>
      <c r="BY73" s="18"/>
      <c r="BZ73" s="18"/>
      <c r="CA73" s="18"/>
      <c r="CB73" s="18"/>
      <c r="CC73" s="18"/>
      <c r="CD73" s="18"/>
    </row>
    <row r="74" spans="1:82" ht="151.5" customHeight="1" x14ac:dyDescent="0.3">
      <c r="A74" s="120">
        <v>29</v>
      </c>
      <c r="B74" s="120" t="s">
        <v>417</v>
      </c>
      <c r="C74" s="120" t="s">
        <v>193</v>
      </c>
      <c r="D74" s="120" t="s">
        <v>217</v>
      </c>
      <c r="E74" s="120"/>
      <c r="F74" s="120" t="s">
        <v>523</v>
      </c>
      <c r="G74" s="120" t="s">
        <v>524</v>
      </c>
      <c r="H74" s="120" t="str">
        <f>_xlfn.CONCAT("Posibilidad de afectación ",IF(C74='Opciones Tratamiento'!$E$2,"económica",IF(C74='Opciones Tratamiento'!$E$4,"económica y reputacional",LOWER(C74)))," por ",LOWER(F74), ", debido a ",LOWER(G74))</f>
        <v xml:space="preserve">Posibilidad de afectación reputacional por perdida  de confidencialidad con la divulgación del expediente procesal, debido a indebida aplicación de las normas  procesales en las actuaciones disciplinarias </v>
      </c>
      <c r="I74" s="120" t="s">
        <v>234</v>
      </c>
      <c r="J74" s="127" t="s">
        <v>231</v>
      </c>
      <c r="K74" s="127" t="s">
        <v>248</v>
      </c>
      <c r="L74" s="129" t="str">
        <f>IF(OR(K74='Opciones Tratamiento'!$K$14,K74='Opciones Tratamiento'!$K$15,K74='Opciones Tratamiento'!$K$16),"Muy Baja",IF(OR(K74='Opciones Tratamiento'!$K$10,K74='Opciones Tratamiento'!$K$11,K74='Opciones Tratamiento'!$K$12,K74='Opciones Tratamiento'!$K$13),"Baja",IF(OR(K74='Opciones Tratamiento'!$K$4,K74='Opciones Tratamiento'!$K$5,K74='Opciones Tratamiento'!$K$6,K74='Opciones Tratamiento'!$K$7,K74='Opciones Tratamiento'!$K$8,K74='Opciones Tratamiento'!$K$9),"Media",IF(K74='Opciones Tratamiento'!$K$3,"Alta",IF(OR(K74='Opciones Tratamiento'!$K$2,K74='Opciones Tratamiento'!$K$17),"Muy Alta")))))</f>
        <v>Baja</v>
      </c>
      <c r="M74" s="130">
        <f>IF(L74="","",IF(L74="Muy Baja",0.2,IF(L74="Baja",0.4,IF(L74="Media",0.6,IF(L74="Alta",0.8,IF(L74="Muy Alta",1,))))))</f>
        <v>0.4</v>
      </c>
      <c r="N74" s="130" t="s">
        <v>149</v>
      </c>
      <c r="O74" s="130" t="str">
        <f ca="1">IF(NOT(ISERROR(MATCH(N74,'Tabla Impacto'!$B$221:$B$223,0))),'Tabla Impacto'!$F$223&amp;"Por favor no seleccionar los criterios de impacto(Afectación Económica o presupuestal y Pérdida Reputacional)",N74)</f>
        <v xml:space="preserve">     El riesgo afecta la imagen de la entidad con algunos usuarios de relevancia frente al logro de los objetivos</v>
      </c>
      <c r="P74" s="130"/>
      <c r="Q74" s="130"/>
      <c r="R74" s="130"/>
      <c r="S74" s="130"/>
      <c r="T74" s="130"/>
      <c r="U74" s="140"/>
      <c r="V74" s="140"/>
      <c r="W74" s="140"/>
      <c r="X74" s="140"/>
      <c r="Y74" s="140"/>
      <c r="Z74" s="140"/>
      <c r="AA74" s="140"/>
      <c r="AB74" s="140"/>
      <c r="AC74" s="140"/>
      <c r="AD74" s="130"/>
      <c r="AE74" s="130"/>
      <c r="AF74" s="130"/>
      <c r="AG74" s="130"/>
      <c r="AH74" s="130"/>
      <c r="AI74" s="129" t="str">
        <f ca="1">IF(OR(D74='Opciones Tratamiento'!$H$2,D74='Opciones Tratamiento'!$H$4),IF(OR(O74='Tabla Impacto'!$C$11,O74='Tabla Impacto'!$D$11),"Leve",IF(OR(O74='Tabla Impacto'!$C$12,O74='Tabla Impacto'!$D$12),"Menor",IF(OR(O74='Tabla Impacto'!$C$13,O74='Tabla Impacto'!$D$13),"Moderado",IF(OR(O74='Tabla Impacto'!$C$14,O74='Tabla Impacto'!$D$14),"Mayor",IF(OR(O74='Tabla Impacto'!$C$15,O74='Tabla Impacto'!$D$15),"Catastrófico",""))))),IF(D74='Opciones Tratamiento'!$H$3,IF(COUNTIF('Mapa final'!P74:AH74,"Si")&lt;=5,"Moderado",IF(AND(COUNTIF('Mapa final'!P74:AH74,"Si")&gt;5,COUNTIF('Mapa final'!P74:AH74,"Si")&lt;=10),"Mayor",IF(COUNTIF('Mapa final'!P74:AH74,"Si")&gt;10,"Catastrófico","")))))</f>
        <v>Moderado</v>
      </c>
      <c r="AJ74" s="130">
        <f ca="1">IF(AI74="","",IF(AI74="Leve",0.2,IF(AI74="Menor",0.4,IF(AI74="Moderado",0.6,IF(AI74="Mayor",0.8,IF(AI74="Catastrófico",1,))))))</f>
        <v>0.6</v>
      </c>
      <c r="AK74" s="131" t="str">
        <f ca="1">IF(OR(AND(L74="Muy Baja",AI74="Leve"),AND(L74="Muy Baja",AI74="Menor"),AND(L74="Baja",AI74="Leve")),"Bajo",IF(OR(AND(L74="Muy baja",AI74="Moderado"),AND(L74="Baja",AI74="Menor"),AND(L74="Baja",AI74="Moderado"),AND(L74="Media",AI74="Leve"),AND(L74="Media",AI74="Menor"),AND(L74="Media",AI74="Moderado"),AND(L74="Alta",AI74="Leve"),AND(L74="Alta",AI74="Menor")),"Moderado",IF(OR(AND(L74="Muy Baja",AI74="Mayor"),AND(L74="Baja",AI74="Mayor"),AND(L74="Media",AI74="Mayor"),AND(L74="Alta",AI74="Moderado"),AND(L74="Alta",AI74="Mayor"),AND(L74="Muy Alta",AI74="Leve"),AND(L74="Muy Alta",AI74="Menor"),AND(L74="Muy Alta",AI74="Moderado"),AND(L74="Muy Alta",AI74="Mayor")),"Alto",IF(OR(AND(L74="Muy Baja",AI74="Catastrófico"),AND(L74="Baja",AI74="Catastrófico"),AND(L74="Media",AI74="Catastrófico"),AND(L74="Alta",AI74="Catastrófico"),AND(L74="Muy Alta",AI74="Catastrófico")),"Extremo",""))))</f>
        <v>Moderado</v>
      </c>
      <c r="AL74" s="127">
        <v>1</v>
      </c>
      <c r="AM74" s="127"/>
      <c r="AN74" s="127" t="e">
        <f>VLOOKUP(AM74,'Opciones Tratamiento'!$M$2:$O$37,3,FALSE)</f>
        <v>#N/A</v>
      </c>
      <c r="AO74" s="132" t="e">
        <f>VLOOKUP(AM74,'Opciones Tratamiento'!$M$2:$O$37,2,FALSE)</f>
        <v>#N/A</v>
      </c>
      <c r="AP74" s="132" t="s">
        <v>603</v>
      </c>
      <c r="AQ74" s="127" t="str">
        <f t="shared" ref="AQ74" si="132">IF(OR(AR74="Preventivo",AR74="Detectivo"),"Probabilidad",IF(AR74="Correctivo","Impacto",""))</f>
        <v>Impacto</v>
      </c>
      <c r="AR74" s="134" t="s">
        <v>169</v>
      </c>
      <c r="AS74" s="134" t="s">
        <v>173</v>
      </c>
      <c r="AT74" s="135" t="str">
        <f t="shared" ref="AT74" si="133">IF(AND(AR74="Preventivo",AS74="Automático"),"50%",IF(AND(AR74="Preventivo",AS74="Manual"),"40%",IF(AND(AR74="Detectivo",AS74="Automático"),"40%",IF(AND(AR74="Detectivo",AS74="Manual"),"30%",IF(AND(AR74="Correctivo",AS74="Automático"),"35%",IF(AND(AR74="Correctivo",AS74="Manual"),"25%",""))))))</f>
        <v>25%</v>
      </c>
      <c r="AU74" s="134" t="s">
        <v>176</v>
      </c>
      <c r="AV74" s="134" t="s">
        <v>181</v>
      </c>
      <c r="AW74" s="134" t="s">
        <v>185</v>
      </c>
      <c r="AX74" s="136">
        <f>IFERROR(IF(AQ74="Probabilidad",(M74-(+M74*AT74)),IF(AQ74="Impacto",M74,"")),"")</f>
        <v>0.4</v>
      </c>
      <c r="AY74" s="137" t="str">
        <f t="shared" ref="AY74" si="134">IFERROR(IF(AX74="","",IF(AX74&lt;=0.2,"Muy Baja",IF(AX74&lt;=0.4,"Baja",IF(AX74&lt;=0.6,"Media",IF(AX74&lt;=0.8,"Alta","Muy Alta"))))),"")</f>
        <v>Baja</v>
      </c>
      <c r="AZ74" s="135">
        <f t="shared" ref="AZ74" si="135">+AX74</f>
        <v>0.4</v>
      </c>
      <c r="BA74" s="137" t="str">
        <f t="shared" ref="BA74" ca="1" si="136">IFERROR(IF(BB74="","",IF(BB74&lt;=0.2,"Leve",IF(BB74&lt;=0.4,"Menor",IF(BB74&lt;=0.6,"Moderado",IF(BB74&lt;=0.8,"Mayor","Catastrófico"))))),"")</f>
        <v>Moderado</v>
      </c>
      <c r="BB74" s="135">
        <f ca="1">IFERROR(IF(AQ74="Impacto",(AJ74-(+AJ74*AT74)),IF(AQ74="Probabilidad",AJ74,"")),"")</f>
        <v>0.44999999999999996</v>
      </c>
      <c r="BC74" s="138" t="str">
        <f t="shared" ref="BC74" ca="1" si="137">IFERROR(IF(OR(AND(AY74="Muy Baja",BA74="Leve"),AND(AY74="Muy Baja",BA74="Menor"),AND(AY74="Baja",BA74="Leve")),"Bajo",IF(OR(AND(AY74="Muy baja",BA74="Moderado"),AND(AY74="Baja",BA74="Menor"),AND(AY74="Baja",BA74="Moderado"),AND(AY74="Media",BA74="Leve"),AND(AY74="Media",BA74="Menor"),AND(AY74="Media",BA74="Moderado"),AND(AY74="Alta",BA74="Leve"),AND(AY74="Alta",BA74="Menor")),"Moderado",IF(OR(AND(AY74="Muy Baja",BA74="Mayor"),AND(AY74="Baja",BA74="Mayor"),AND(AY74="Media",BA74="Mayor"),AND(AY74="Alta",BA74="Moderado"),AND(AY74="Alta",BA74="Mayor"),AND(AY74="Muy Alta",BA74="Leve"),AND(AY74="Muy Alta",BA74="Menor"),AND(AY74="Muy Alta",BA74="Moderado"),AND(AY74="Muy Alta",BA74="Mayor")),"Alto",IF(OR(AND(AY74="Muy Baja",BA74="Catastrófico"),AND(AY74="Baja",BA74="Catastrófico"),AND(AY74="Media",BA74="Catastrófico"),AND(AY74="Alta",BA74="Catastrófico"),AND(AY74="Muy Alta",BA74="Catastrófico")),"Extremo","")))),"")</f>
        <v>Moderado</v>
      </c>
      <c r="BD74" s="134" t="s">
        <v>190</v>
      </c>
      <c r="BE74" s="120"/>
      <c r="BF74" s="127"/>
      <c r="BG74" s="139"/>
      <c r="BH74" s="139"/>
      <c r="BI74" s="120"/>
      <c r="BJ74" s="127"/>
      <c r="BK74" s="18"/>
      <c r="BL74" s="18"/>
      <c r="BM74" s="18"/>
      <c r="BN74" s="18"/>
      <c r="BO74" s="18"/>
      <c r="BP74" s="18"/>
      <c r="BQ74" s="18"/>
      <c r="BR74" s="18"/>
      <c r="BS74" s="18"/>
      <c r="BT74" s="18"/>
      <c r="BU74" s="18"/>
      <c r="BV74" s="18"/>
      <c r="BW74" s="18"/>
      <c r="BX74" s="18"/>
      <c r="BY74" s="18"/>
      <c r="BZ74" s="18"/>
      <c r="CA74" s="18"/>
      <c r="CB74" s="18"/>
      <c r="CC74" s="18"/>
      <c r="CD74" s="18"/>
    </row>
    <row r="75" spans="1:82" ht="101.45" customHeight="1" x14ac:dyDescent="0.3">
      <c r="A75" s="183">
        <v>30</v>
      </c>
      <c r="B75" s="183" t="s">
        <v>413</v>
      </c>
      <c r="C75" s="183" t="s">
        <v>193</v>
      </c>
      <c r="D75" s="183" t="s">
        <v>217</v>
      </c>
      <c r="E75" s="183"/>
      <c r="F75" s="189" t="s">
        <v>525</v>
      </c>
      <c r="G75" s="189" t="s">
        <v>604</v>
      </c>
      <c r="H75" s="183" t="str">
        <f>_xlfn.CONCAT("Posibilidad de afectación ",IF(C75='Opciones Tratamiento'!$E$2,"económica",IF(C75='Opciones Tratamiento'!$E$4,"económica y reputacional",LOWER(C75)))," por ",LOWER(F75), ", debido a ",LOWER(G75))</f>
        <v>Posibilidad de afectación reputacional por emisión extemporánea del entregable requerido, debido a omisión del reparto o reparto extemporáneo 
omisión o extemporaneidad del proyecto de respuesta.
omisión o extemporaneidad de la revisión del proyecto de respuesta.
omisión o extemporaneidad en la firma del proyecto
omisión, extemporaneidad o errores en la radicación del proyecto
omisión, extemporaneidad o errores en las respuestas de solicitudes de la oficina asesora jurídica por parte de otras áreas u otras entidades
no disponibilidad de la  plataforma de gestión documental</v>
      </c>
      <c r="I75" s="183" t="s">
        <v>201</v>
      </c>
      <c r="J75" s="185" t="s">
        <v>231</v>
      </c>
      <c r="K75" s="185" t="s">
        <v>241</v>
      </c>
      <c r="L75" s="187" t="str">
        <f>IF(OR(K75='Opciones Tratamiento'!$K$14,K75='Opciones Tratamiento'!$K$15,K75='Opciones Tratamiento'!$K$16),"Muy Baja",IF(OR(K75='Opciones Tratamiento'!$K$10,K75='Opciones Tratamiento'!$K$11,K75='Opciones Tratamiento'!$K$12,K75='Opciones Tratamiento'!$K$13),"Baja",IF(OR(K75='Opciones Tratamiento'!$K$4,K75='Opciones Tratamiento'!$K$5,K75='Opciones Tratamiento'!$K$6,K75='Opciones Tratamiento'!$K$7,K75='Opciones Tratamiento'!$K$8,K75='Opciones Tratamiento'!$K$9),"Media",IF(K75='Opciones Tratamiento'!$K$3,"Alta",IF(OR(K75='Opciones Tratamiento'!$K$2,K75='Opciones Tratamiento'!$K$17),"Muy Alta")))))</f>
        <v>Media</v>
      </c>
      <c r="M75" s="188">
        <f>IF(L75="","",IF(L75="Muy Baja",0.2,IF(L75="Baja",0.4,IF(L75="Media",0.6,IF(L75="Alta",0.8,IF(L75="Muy Alta",1,))))))</f>
        <v>0.6</v>
      </c>
      <c r="N75" s="188" t="s">
        <v>149</v>
      </c>
      <c r="O75" s="188" t="str">
        <f ca="1">IF(NOT(ISERROR(MATCH(N75,'Tabla Impacto'!$B$221:$B$223,0))),'Tabla Impacto'!$F$223&amp;"Por favor no seleccionar los criterios de impacto(Afectación Económica o presupuestal y Pérdida Reputacional)",N75)</f>
        <v xml:space="preserve">     El riesgo afecta la imagen de la entidad con algunos usuarios de relevancia frente al logro de los objetivos</v>
      </c>
      <c r="P75" s="130"/>
      <c r="Q75" s="130"/>
      <c r="R75" s="130"/>
      <c r="S75" s="130"/>
      <c r="T75" s="130"/>
      <c r="U75" s="140"/>
      <c r="V75" s="140"/>
      <c r="W75" s="140"/>
      <c r="X75" s="140"/>
      <c r="Y75" s="140"/>
      <c r="Z75" s="140"/>
      <c r="AA75" s="140"/>
      <c r="AB75" s="140"/>
      <c r="AC75" s="140"/>
      <c r="AD75" s="130"/>
      <c r="AE75" s="130"/>
      <c r="AF75" s="130"/>
      <c r="AG75" s="130"/>
      <c r="AH75" s="130"/>
      <c r="AI75" s="187" t="str">
        <f ca="1">IF(OR(D75='Opciones Tratamiento'!$H$2,D75='Opciones Tratamiento'!$H$4),IF(OR(O75='Tabla Impacto'!$C$11,O75='Tabla Impacto'!$D$11),"Leve",IF(OR(O75='Tabla Impacto'!$C$12,O75='Tabla Impacto'!$D$12),"Menor",IF(OR(O75='Tabla Impacto'!$C$13,O75='Tabla Impacto'!$D$13),"Moderado",IF(OR(O75='Tabla Impacto'!$C$14,O75='Tabla Impacto'!$D$14),"Mayor",IF(OR(O75='Tabla Impacto'!$C$15,O75='Tabla Impacto'!$D$15),"Catastrófico",""))))),IF(D75='Opciones Tratamiento'!$H$3,IF(COUNTIF('Mapa final'!P75:AH75,"Si")&lt;=5,"Moderado",IF(AND(COUNTIF('Mapa final'!P75:AH75,"Si")&gt;5,COUNTIF('Mapa final'!P75:AH75,"Si")&lt;=10),"Mayor",IF(COUNTIF('Mapa final'!P75:AH75,"Si")&gt;10,"Catastrófico","")))))</f>
        <v>Moderado</v>
      </c>
      <c r="AJ75" s="188">
        <f ca="1">IF(AI75="","",IF(AI75="Leve",0.2,IF(AI75="Menor",0.4,IF(AI75="Moderado",0.6,IF(AI75="Mayor",0.8,IF(AI75="Catastrófico",1,))))))</f>
        <v>0.6</v>
      </c>
      <c r="AK75" s="190" t="str">
        <f ca="1">IF(OR(AND(L75="Muy Baja",AI75="Leve"),AND(L75="Muy Baja",AI75="Menor"),AND(L75="Baja",AI75="Leve")),"Bajo",IF(OR(AND(L75="Muy baja",AI75="Moderado"),AND(L75="Baja",AI75="Menor"),AND(L75="Baja",AI75="Moderado"),AND(L75="Media",AI75="Leve"),AND(L75="Media",AI75="Menor"),AND(L75="Media",AI75="Moderado"),AND(L75="Alta",AI75="Leve"),AND(L75="Alta",AI75="Menor")),"Moderado",IF(OR(AND(L75="Muy Baja",AI75="Mayor"),AND(L75="Baja",AI75="Mayor"),AND(L75="Media",AI75="Mayor"),AND(L75="Alta",AI75="Moderado"),AND(L75="Alta",AI75="Mayor"),AND(L75="Muy Alta",AI75="Leve"),AND(L75="Muy Alta",AI75="Menor"),AND(L75="Muy Alta",AI75="Moderado"),AND(L75="Muy Alta",AI75="Mayor")),"Alto",IF(OR(AND(L75="Muy Baja",AI75="Catastrófico"),AND(L75="Baja",AI75="Catastrófico"),AND(L75="Media",AI75="Catastrófico"),AND(L75="Alta",AI75="Catastrófico"),AND(L75="Muy Alta",AI75="Catastrófico")),"Extremo",""))))</f>
        <v>Moderado</v>
      </c>
      <c r="AL75" s="127">
        <v>1</v>
      </c>
      <c r="AM75" s="127"/>
      <c r="AN75" s="127" t="e">
        <f>VLOOKUP(AM75,'Opciones Tratamiento'!$M$2:$O$37,3,FALSE)</f>
        <v>#N/A</v>
      </c>
      <c r="AO75" s="132" t="e">
        <f>VLOOKUP(AM75,'Opciones Tratamiento'!$M$2:$O$37,2,FALSE)</f>
        <v>#N/A</v>
      </c>
      <c r="AP75" s="133" t="s">
        <v>526</v>
      </c>
      <c r="AQ75" s="127" t="str">
        <f t="shared" ref="AQ75:AQ77" si="138">IF(OR(AR75="Preventivo",AR75="Detectivo"),"Probabilidad",IF(AR75="Correctivo","Impacto",""))</f>
        <v>Probabilidad</v>
      </c>
      <c r="AR75" s="134" t="s">
        <v>165</v>
      </c>
      <c r="AS75" s="134" t="s">
        <v>173</v>
      </c>
      <c r="AT75" s="135" t="str">
        <f t="shared" ref="AT75:AT77" si="139">IF(AND(AR75="Preventivo",AS75="Automático"),"50%",IF(AND(AR75="Preventivo",AS75="Manual"),"40%",IF(AND(AR75="Detectivo",AS75="Automático"),"40%",IF(AND(AR75="Detectivo",AS75="Manual"),"30%",IF(AND(AR75="Correctivo",AS75="Automático"),"35%",IF(AND(AR75="Correctivo",AS75="Manual"),"25%",""))))))</f>
        <v>40%</v>
      </c>
      <c r="AU75" s="134" t="s">
        <v>176</v>
      </c>
      <c r="AV75" s="134" t="s">
        <v>181</v>
      </c>
      <c r="AW75" s="134" t="s">
        <v>185</v>
      </c>
      <c r="AX75" s="136">
        <f>IFERROR(IF(AQ75="Probabilidad",(M75-(+M75*AT75)),IF(AQ75="Impacto",M75,"")),"")</f>
        <v>0.36</v>
      </c>
      <c r="AY75" s="137" t="str">
        <f t="shared" ref="AY75:AY77" si="140">IFERROR(IF(AX75="","",IF(AX75&lt;=0.2,"Muy Baja",IF(AX75&lt;=0.4,"Baja",IF(AX75&lt;=0.6,"Media",IF(AX75&lt;=0.8,"Alta","Muy Alta"))))),"")</f>
        <v>Baja</v>
      </c>
      <c r="AZ75" s="135">
        <f t="shared" ref="AZ75:AZ77" si="141">+AX75</f>
        <v>0.36</v>
      </c>
      <c r="BA75" s="137" t="str">
        <f t="shared" ref="BA75:BA77" ca="1" si="142">IFERROR(IF(BB75="","",IF(BB75&lt;=0.2,"Leve",IF(BB75&lt;=0.4,"Menor",IF(BB75&lt;=0.6,"Moderado",IF(BB75&lt;=0.8,"Mayor","Catastrófico"))))),"")</f>
        <v>Moderado</v>
      </c>
      <c r="BB75" s="135">
        <f ca="1">IFERROR(IF(AQ75="Impacto",(AJ75-(+AJ75*AT75)),IF(AQ75="Probabilidad",AJ75,"")),"")</f>
        <v>0.6</v>
      </c>
      <c r="BC75" s="138" t="str">
        <f t="shared" ref="BC75:BC77" ca="1" si="143">IFERROR(IF(OR(AND(AY75="Muy Baja",BA75="Leve"),AND(AY75="Muy Baja",BA75="Menor"),AND(AY75="Baja",BA75="Leve")),"Bajo",IF(OR(AND(AY75="Muy baja",BA75="Moderado"),AND(AY75="Baja",BA75="Menor"),AND(AY75="Baja",BA75="Moderado"),AND(AY75="Media",BA75="Leve"),AND(AY75="Media",BA75="Menor"),AND(AY75="Media",BA75="Moderado"),AND(AY75="Alta",BA75="Leve"),AND(AY75="Alta",BA75="Menor")),"Moderado",IF(OR(AND(AY75="Muy Baja",BA75="Mayor"),AND(AY75="Baja",BA75="Mayor"),AND(AY75="Media",BA75="Mayor"),AND(AY75="Alta",BA75="Moderado"),AND(AY75="Alta",BA75="Mayor"),AND(AY75="Muy Alta",BA75="Leve"),AND(AY75="Muy Alta",BA75="Menor"),AND(AY75="Muy Alta",BA75="Moderado"),AND(AY75="Muy Alta",BA75="Mayor")),"Alto",IF(OR(AND(AY75="Muy Baja",BA75="Catastrófico"),AND(AY75="Baja",BA75="Catastrófico"),AND(AY75="Media",BA75="Catastrófico"),AND(AY75="Alta",BA75="Catastrófico"),AND(AY75="Muy Alta",BA75="Catastrófico")),"Extremo","")))),"")</f>
        <v>Moderado</v>
      </c>
      <c r="BD75" s="134" t="s">
        <v>196</v>
      </c>
      <c r="BE75" s="120"/>
      <c r="BF75" s="127"/>
      <c r="BG75" s="139"/>
      <c r="BH75" s="139"/>
      <c r="BI75" s="120"/>
      <c r="BJ75" s="127"/>
      <c r="BK75" s="18"/>
      <c r="BL75" s="18"/>
      <c r="BM75" s="18"/>
      <c r="BN75" s="18"/>
      <c r="BO75" s="18"/>
      <c r="BP75" s="18"/>
      <c r="BQ75" s="18"/>
      <c r="BR75" s="18"/>
      <c r="BS75" s="18"/>
      <c r="BT75" s="18"/>
      <c r="BU75" s="18"/>
      <c r="BV75" s="18"/>
      <c r="BW75" s="18"/>
      <c r="BX75" s="18"/>
      <c r="BY75" s="18"/>
      <c r="BZ75" s="18"/>
      <c r="CA75" s="18"/>
      <c r="CB75" s="18"/>
      <c r="CC75" s="18"/>
      <c r="CD75" s="18"/>
    </row>
    <row r="76" spans="1:82" ht="101.45" customHeight="1" x14ac:dyDescent="0.3">
      <c r="A76" s="184"/>
      <c r="B76" s="184"/>
      <c r="C76" s="186"/>
      <c r="D76" s="186"/>
      <c r="E76" s="186"/>
      <c r="F76" s="189"/>
      <c r="G76" s="189"/>
      <c r="H76" s="186"/>
      <c r="I76" s="186"/>
      <c r="J76" s="186"/>
      <c r="K76" s="186"/>
      <c r="L76" s="186"/>
      <c r="M76" s="186"/>
      <c r="N76" s="186"/>
      <c r="O76" s="186"/>
      <c r="P76" s="130"/>
      <c r="Q76" s="130"/>
      <c r="R76" s="130"/>
      <c r="S76" s="130"/>
      <c r="T76" s="130"/>
      <c r="U76" s="140"/>
      <c r="V76" s="140"/>
      <c r="W76" s="140"/>
      <c r="X76" s="140"/>
      <c r="Y76" s="140"/>
      <c r="Z76" s="140"/>
      <c r="AA76" s="140"/>
      <c r="AB76" s="140"/>
      <c r="AC76" s="140"/>
      <c r="AD76" s="130"/>
      <c r="AE76" s="130"/>
      <c r="AF76" s="130"/>
      <c r="AG76" s="130"/>
      <c r="AH76" s="130"/>
      <c r="AI76" s="186"/>
      <c r="AJ76" s="186"/>
      <c r="AK76" s="186"/>
      <c r="AL76" s="127">
        <v>2</v>
      </c>
      <c r="AM76" s="127"/>
      <c r="AN76" s="127" t="e">
        <f>VLOOKUP(AM76,'Opciones Tratamiento'!$M$2:$O$37,3,FALSE)</f>
        <v>#N/A</v>
      </c>
      <c r="AO76" s="132" t="e">
        <f>VLOOKUP(AM76,'Opciones Tratamiento'!$M$2:$O$37,2,FALSE)</f>
        <v>#N/A</v>
      </c>
      <c r="AP76" s="133" t="s">
        <v>527</v>
      </c>
      <c r="AQ76" s="127" t="str">
        <f t="shared" si="138"/>
        <v>Probabilidad</v>
      </c>
      <c r="AR76" s="134" t="s">
        <v>165</v>
      </c>
      <c r="AS76" s="134" t="s">
        <v>173</v>
      </c>
      <c r="AT76" s="135" t="str">
        <f t="shared" si="139"/>
        <v>40%</v>
      </c>
      <c r="AU76" s="134" t="s">
        <v>179</v>
      </c>
      <c r="AV76" s="134" t="s">
        <v>181</v>
      </c>
      <c r="AW76" s="134" t="s">
        <v>185</v>
      </c>
      <c r="AX76" s="136">
        <f>IFERROR(IF(AND(AQ75="Probabilidad",AQ76="Probabilidad"),(AZ75-(+AZ75*AT76)),IF(AQ76="Probabilidad",(M75-(+M75*AT76)),IF(AQ76="Impacto",AZ75,""))),"")</f>
        <v>0.216</v>
      </c>
      <c r="AY76" s="137" t="str">
        <f t="shared" si="140"/>
        <v>Baja</v>
      </c>
      <c r="AZ76" s="135">
        <f t="shared" si="141"/>
        <v>0.216</v>
      </c>
      <c r="BA76" s="137" t="str">
        <f t="shared" si="142"/>
        <v>Moderado</v>
      </c>
      <c r="BB76" s="135">
        <v>0.6</v>
      </c>
      <c r="BC76" s="138" t="str">
        <f t="shared" si="143"/>
        <v>Moderado</v>
      </c>
      <c r="BD76" s="134" t="s">
        <v>196</v>
      </c>
      <c r="BE76" s="120"/>
      <c r="BF76" s="127"/>
      <c r="BG76" s="139"/>
      <c r="BH76" s="139"/>
      <c r="BI76" s="120"/>
      <c r="BJ76" s="127"/>
      <c r="BK76" s="24"/>
      <c r="BL76" s="24"/>
      <c r="BM76" s="24"/>
      <c r="BN76" s="24"/>
      <c r="BO76" s="24"/>
      <c r="BP76" s="24"/>
      <c r="BQ76" s="24"/>
      <c r="BR76" s="24"/>
      <c r="BS76" s="24"/>
      <c r="BT76" s="24"/>
      <c r="BU76" s="24"/>
      <c r="BV76" s="24"/>
      <c r="BW76" s="24"/>
      <c r="BX76" s="24"/>
      <c r="BY76" s="24"/>
      <c r="BZ76" s="24"/>
      <c r="CA76" s="24"/>
      <c r="CB76" s="24"/>
      <c r="CC76" s="24"/>
      <c r="CD76" s="24"/>
    </row>
    <row r="77" spans="1:82" ht="101.45" customHeight="1" x14ac:dyDescent="0.3">
      <c r="A77" s="184"/>
      <c r="B77" s="184"/>
      <c r="C77" s="186"/>
      <c r="D77" s="186"/>
      <c r="E77" s="186"/>
      <c r="F77" s="189"/>
      <c r="G77" s="189"/>
      <c r="H77" s="186"/>
      <c r="I77" s="186"/>
      <c r="J77" s="186"/>
      <c r="K77" s="186"/>
      <c r="L77" s="186"/>
      <c r="M77" s="186"/>
      <c r="N77" s="186"/>
      <c r="O77" s="186"/>
      <c r="P77" s="130"/>
      <c r="Q77" s="130"/>
      <c r="R77" s="130"/>
      <c r="S77" s="130"/>
      <c r="T77" s="130"/>
      <c r="U77" s="140"/>
      <c r="V77" s="140"/>
      <c r="W77" s="140"/>
      <c r="X77" s="140"/>
      <c r="Y77" s="140"/>
      <c r="Z77" s="140"/>
      <c r="AA77" s="140"/>
      <c r="AB77" s="140"/>
      <c r="AC77" s="140"/>
      <c r="AD77" s="130"/>
      <c r="AE77" s="130"/>
      <c r="AF77" s="130"/>
      <c r="AG77" s="130"/>
      <c r="AH77" s="130"/>
      <c r="AI77" s="186"/>
      <c r="AJ77" s="186"/>
      <c r="AK77" s="186"/>
      <c r="AL77" s="127">
        <v>3</v>
      </c>
      <c r="AM77" s="127"/>
      <c r="AN77" s="127" t="e">
        <f>VLOOKUP(AM77,'Opciones Tratamiento'!$M$2:$O$37,3,FALSE)</f>
        <v>#N/A</v>
      </c>
      <c r="AO77" s="132" t="e">
        <f>VLOOKUP(AM77,'Opciones Tratamiento'!$M$2:$O$37,2,FALSE)</f>
        <v>#N/A</v>
      </c>
      <c r="AP77" s="133" t="s">
        <v>605</v>
      </c>
      <c r="AQ77" s="127" t="str">
        <f t="shared" si="138"/>
        <v>Impacto</v>
      </c>
      <c r="AR77" s="134" t="s">
        <v>169</v>
      </c>
      <c r="AS77" s="134" t="s">
        <v>173</v>
      </c>
      <c r="AT77" s="135" t="str">
        <f t="shared" si="139"/>
        <v>25%</v>
      </c>
      <c r="AU77" s="134" t="s">
        <v>179</v>
      </c>
      <c r="AV77" s="134" t="s">
        <v>181</v>
      </c>
      <c r="AW77" s="134" t="s">
        <v>185</v>
      </c>
      <c r="AX77" s="136">
        <f t="shared" ref="AX77" si="144">IFERROR(IF(AND(AQ76="Probabilidad",AQ77="Probabilidad"),(AZ76-(+AZ76*AT77)),IF(AND(AQ76="Impacto",AQ77="Probabilidad"),(AZ75-(+AZ75*AT77)),IF(AQ77="Impacto",AZ76,""))),"")</f>
        <v>0.216</v>
      </c>
      <c r="AY77" s="137" t="str">
        <f t="shared" si="140"/>
        <v>Baja</v>
      </c>
      <c r="AZ77" s="135">
        <f t="shared" si="141"/>
        <v>0.216</v>
      </c>
      <c r="BA77" s="137" t="str">
        <f t="shared" ca="1" si="142"/>
        <v>Moderado</v>
      </c>
      <c r="BB77" s="135">
        <f t="shared" ref="BB77" ca="1" si="145">IFERROR(IF(AND(AQ76="Impacto",AQ77="Impacto"),(BB76-(+BB76*AT77)),IF(AND(AQ76="Probabilidad",AQ77="Impacto"),(BB75-(+BB75*AT77)),IF(AQ77="Probabilidad",BB76,""))),"")</f>
        <v>0.44999999999999996</v>
      </c>
      <c r="BC77" s="138" t="str">
        <f t="shared" ca="1" si="143"/>
        <v>Moderado</v>
      </c>
      <c r="BD77" s="134" t="s">
        <v>190</v>
      </c>
      <c r="BE77" s="120"/>
      <c r="BF77" s="127"/>
      <c r="BG77" s="139"/>
      <c r="BH77" s="139"/>
      <c r="BI77" s="120"/>
      <c r="BJ77" s="127"/>
      <c r="BK77" s="24"/>
      <c r="BL77" s="24"/>
      <c r="BM77" s="24"/>
      <c r="BN77" s="24"/>
      <c r="BO77" s="24"/>
      <c r="BP77" s="24"/>
      <c r="BQ77" s="24"/>
      <c r="BR77" s="24"/>
      <c r="BS77" s="24"/>
      <c r="BT77" s="24"/>
      <c r="BU77" s="24"/>
      <c r="BV77" s="24"/>
      <c r="BW77" s="24"/>
      <c r="BX77" s="24"/>
      <c r="BY77" s="24"/>
      <c r="BZ77" s="24"/>
      <c r="CA77" s="24"/>
      <c r="CB77" s="24"/>
      <c r="CC77" s="24"/>
      <c r="CD77" s="24"/>
    </row>
    <row r="78" spans="1:82" ht="93.6" customHeight="1" x14ac:dyDescent="0.3">
      <c r="A78" s="120">
        <v>31</v>
      </c>
      <c r="B78" s="120" t="s">
        <v>413</v>
      </c>
      <c r="C78" s="120" t="s">
        <v>193</v>
      </c>
      <c r="D78" s="120" t="s">
        <v>217</v>
      </c>
      <c r="E78" s="120"/>
      <c r="F78" s="120" t="s">
        <v>528</v>
      </c>
      <c r="G78" s="120" t="s">
        <v>529</v>
      </c>
      <c r="H78" s="120" t="str">
        <f>_xlfn.CONCAT("Posibilidad de afectación ",IF(C78='Opciones Tratamiento'!$E$2,"económica",IF(C78='Opciones Tratamiento'!$E$4,"económica y reputacional",LOWER(C78)))," por ",LOWER(F78), ", debido a ",LOWER(G78))</f>
        <v>Posibilidad de afectación reputacional por entregable de deficiente calidad , debido a debilidades en la fundamentación jurídica del entregable</v>
      </c>
      <c r="I78" s="120" t="s">
        <v>201</v>
      </c>
      <c r="J78" s="127" t="s">
        <v>231</v>
      </c>
      <c r="K78" s="127" t="s">
        <v>241</v>
      </c>
      <c r="L78" s="129" t="str">
        <f>IF(OR(K78='Opciones Tratamiento'!$K$14,K78='Opciones Tratamiento'!$K$15,K78='Opciones Tratamiento'!$K$16),"Muy Baja",IF(OR(K78='Opciones Tratamiento'!$K$10,K78='Opciones Tratamiento'!$K$11,K78='Opciones Tratamiento'!$K$12,K78='Opciones Tratamiento'!$K$13),"Baja",IF(OR(K78='Opciones Tratamiento'!$K$4,K78='Opciones Tratamiento'!$K$5,K78='Opciones Tratamiento'!$K$6,K78='Opciones Tratamiento'!$K$7,K78='Opciones Tratamiento'!$K$8,K78='Opciones Tratamiento'!$K$9),"Media",IF(K78='Opciones Tratamiento'!$K$3,"Alta",IF(OR(K78='Opciones Tratamiento'!$K$2,K78='Opciones Tratamiento'!$K$17),"Muy Alta")))))</f>
        <v>Media</v>
      </c>
      <c r="M78" s="130">
        <f>IF(L78="","",IF(L78="Muy Baja",0.2,IF(L78="Baja",0.4,IF(L78="Media",0.6,IF(L78="Alta",0.8,IF(L78="Muy Alta",1,))))))</f>
        <v>0.6</v>
      </c>
      <c r="N78" s="130" t="s">
        <v>149</v>
      </c>
      <c r="O78" s="130" t="str">
        <f ca="1">IF(NOT(ISERROR(MATCH(N78,'Tabla Impacto'!$B$221:$B$223,0))),'Tabla Impacto'!$F$223&amp;"Por favor no seleccionar los criterios de impacto(Afectación Económica o presupuestal y Pérdida Reputacional)",N78)</f>
        <v xml:space="preserve">     El riesgo afecta la imagen de la entidad con algunos usuarios de relevancia frente al logro de los objetivos</v>
      </c>
      <c r="P78" s="130"/>
      <c r="Q78" s="130"/>
      <c r="R78" s="130"/>
      <c r="S78" s="130"/>
      <c r="T78" s="130"/>
      <c r="U78" s="140"/>
      <c r="V78" s="140"/>
      <c r="W78" s="140"/>
      <c r="X78" s="140"/>
      <c r="Y78" s="140"/>
      <c r="Z78" s="140"/>
      <c r="AA78" s="140"/>
      <c r="AB78" s="140"/>
      <c r="AC78" s="140"/>
      <c r="AD78" s="130"/>
      <c r="AE78" s="130"/>
      <c r="AF78" s="130"/>
      <c r="AG78" s="130"/>
      <c r="AH78" s="130"/>
      <c r="AI78" s="129" t="str">
        <f ca="1">IF(OR(D78='Opciones Tratamiento'!$H$2,D78='Opciones Tratamiento'!$H$4),IF(OR(O78='Tabla Impacto'!$C$11,O78='Tabla Impacto'!$D$11),"Leve",IF(OR(O78='Tabla Impacto'!$C$12,O78='Tabla Impacto'!$D$12),"Menor",IF(OR(O78='Tabla Impacto'!$C$13,O78='Tabla Impacto'!$D$13),"Moderado",IF(OR(O78='Tabla Impacto'!$C$14,O78='Tabla Impacto'!$D$14),"Mayor",IF(OR(O78='Tabla Impacto'!$C$15,O78='Tabla Impacto'!$D$15),"Catastrófico",""))))),IF(D78='Opciones Tratamiento'!$H$3,IF(COUNTIF('Mapa final'!P78:AH78,"Si")&lt;=5,"Moderado",IF(AND(COUNTIF('Mapa final'!P78:AH78,"Si")&gt;5,COUNTIF('Mapa final'!P78:AH78,"Si")&lt;=10),"Mayor",IF(COUNTIF('Mapa final'!P78:AH78,"Si")&gt;10,"Catastrófico","")))))</f>
        <v>Moderado</v>
      </c>
      <c r="AJ78" s="130">
        <f ca="1">IF(AI78="","",IF(AI78="Leve",0.2,IF(AI78="Menor",0.4,IF(AI78="Moderado",0.6,IF(AI78="Mayor",0.8,IF(AI78="Catastrófico",1,))))))</f>
        <v>0.6</v>
      </c>
      <c r="AK78" s="131" t="str">
        <f ca="1">IF(OR(AND(L78="Muy Baja",AI78="Leve"),AND(L78="Muy Baja",AI78="Menor"),AND(L78="Baja",AI78="Leve")),"Bajo",IF(OR(AND(L78="Muy baja",AI78="Moderado"),AND(L78="Baja",AI78="Menor"),AND(L78="Baja",AI78="Moderado"),AND(L78="Media",AI78="Leve"),AND(L78="Media",AI78="Menor"),AND(L78="Media",AI78="Moderado"),AND(L78="Alta",AI78="Leve"),AND(L78="Alta",AI78="Menor")),"Moderado",IF(OR(AND(L78="Muy Baja",AI78="Mayor"),AND(L78="Baja",AI78="Mayor"),AND(L78="Media",AI78="Mayor"),AND(L78="Alta",AI78="Moderado"),AND(L78="Alta",AI78="Mayor"),AND(L78="Muy Alta",AI78="Leve"),AND(L78="Muy Alta",AI78="Menor"),AND(L78="Muy Alta",AI78="Moderado"),AND(L78="Muy Alta",AI78="Mayor")),"Alto",IF(OR(AND(L78="Muy Baja",AI78="Catastrófico"),AND(L78="Baja",AI78="Catastrófico"),AND(L78="Media",AI78="Catastrófico"),AND(L78="Alta",AI78="Catastrófico"),AND(L78="Muy Alta",AI78="Catastrófico")),"Extremo",""))))</f>
        <v>Moderado</v>
      </c>
      <c r="AL78" s="127">
        <v>1</v>
      </c>
      <c r="AM78" s="127"/>
      <c r="AN78" s="127" t="e">
        <f>VLOOKUP(AM78,'Opciones Tratamiento'!$M$2:$O$37,3,FALSE)</f>
        <v>#N/A</v>
      </c>
      <c r="AO78" s="132" t="e">
        <f>VLOOKUP(AM78,'Opciones Tratamiento'!$M$2:$O$37,2,FALSE)</f>
        <v>#N/A</v>
      </c>
      <c r="AP78" s="132" t="s">
        <v>530</v>
      </c>
      <c r="AQ78" s="127" t="str">
        <f t="shared" ref="AQ78" si="146">IF(OR(AR78="Preventivo",AR78="Detectivo"),"Probabilidad",IF(AR78="Correctivo","Impacto",""))</f>
        <v>Probabilidad</v>
      </c>
      <c r="AR78" s="134" t="s">
        <v>165</v>
      </c>
      <c r="AS78" s="134" t="s">
        <v>173</v>
      </c>
      <c r="AT78" s="135" t="str">
        <f t="shared" ref="AT78" si="147">IF(AND(AR78="Preventivo",AS78="Automático"),"50%",IF(AND(AR78="Preventivo",AS78="Manual"),"40%",IF(AND(AR78="Detectivo",AS78="Automático"),"40%",IF(AND(AR78="Detectivo",AS78="Manual"),"30%",IF(AND(AR78="Correctivo",AS78="Automático"),"35%",IF(AND(AR78="Correctivo",AS78="Manual"),"25%",""))))))</f>
        <v>40%</v>
      </c>
      <c r="AU78" s="134" t="s">
        <v>176</v>
      </c>
      <c r="AV78" s="134" t="s">
        <v>181</v>
      </c>
      <c r="AW78" s="134" t="s">
        <v>185</v>
      </c>
      <c r="AX78" s="136">
        <f>IFERROR(IF(AQ78="Probabilidad",(M78-(+M78*AT78)),IF(AQ78="Impacto",M78,"")),"")</f>
        <v>0.36</v>
      </c>
      <c r="AY78" s="137" t="str">
        <f t="shared" ref="AY78" si="148">IFERROR(IF(AX78="","",IF(AX78&lt;=0.2,"Muy Baja",IF(AX78&lt;=0.4,"Baja",IF(AX78&lt;=0.6,"Media",IF(AX78&lt;=0.8,"Alta","Muy Alta"))))),"")</f>
        <v>Baja</v>
      </c>
      <c r="AZ78" s="135">
        <f t="shared" ref="AZ78" si="149">+AX78</f>
        <v>0.36</v>
      </c>
      <c r="BA78" s="137" t="str">
        <f t="shared" ref="BA78" ca="1" si="150">IFERROR(IF(BB78="","",IF(BB78&lt;=0.2,"Leve",IF(BB78&lt;=0.4,"Menor",IF(BB78&lt;=0.6,"Moderado",IF(BB78&lt;=0.8,"Mayor","Catastrófico"))))),"")</f>
        <v>Moderado</v>
      </c>
      <c r="BB78" s="135">
        <f ca="1">IFERROR(IF(AQ78="Impacto",(AJ78-(+AJ78*AT78)),IF(AQ78="Probabilidad",AJ78,"")),"")</f>
        <v>0.6</v>
      </c>
      <c r="BC78" s="138" t="str">
        <f t="shared" ref="BC78" ca="1" si="151">IFERROR(IF(OR(AND(AY78="Muy Baja",BA78="Leve"),AND(AY78="Muy Baja",BA78="Menor"),AND(AY78="Baja",BA78="Leve")),"Bajo",IF(OR(AND(AY78="Muy baja",BA78="Moderado"),AND(AY78="Baja",BA78="Menor"),AND(AY78="Baja",BA78="Moderado"),AND(AY78="Media",BA78="Leve"),AND(AY78="Media",BA78="Menor"),AND(AY78="Media",BA78="Moderado"),AND(AY78="Alta",BA78="Leve"),AND(AY78="Alta",BA78="Menor")),"Moderado",IF(OR(AND(AY78="Muy Baja",BA78="Mayor"),AND(AY78="Baja",BA78="Mayor"),AND(AY78="Media",BA78="Mayor"),AND(AY78="Alta",BA78="Moderado"),AND(AY78="Alta",BA78="Mayor"),AND(AY78="Muy Alta",BA78="Leve"),AND(AY78="Muy Alta",BA78="Menor"),AND(AY78="Muy Alta",BA78="Moderado"),AND(AY78="Muy Alta",BA78="Mayor")),"Alto",IF(OR(AND(AY78="Muy Baja",BA78="Catastrófico"),AND(AY78="Baja",BA78="Catastrófico"),AND(AY78="Media",BA78="Catastrófico"),AND(AY78="Alta",BA78="Catastrófico"),AND(AY78="Muy Alta",BA78="Catastrófico")),"Extremo","")))),"")</f>
        <v>Moderado</v>
      </c>
      <c r="BD78" s="134" t="s">
        <v>190</v>
      </c>
      <c r="BE78" s="120"/>
      <c r="BF78" s="127"/>
      <c r="BG78" s="139"/>
      <c r="BH78" s="139"/>
      <c r="BI78" s="120"/>
      <c r="BJ78" s="127"/>
      <c r="BK78" s="18"/>
      <c r="BL78" s="18"/>
      <c r="BM78" s="18"/>
      <c r="BN78" s="18"/>
      <c r="BO78" s="18"/>
      <c r="BP78" s="18"/>
      <c r="BQ78" s="18"/>
      <c r="BR78" s="18"/>
      <c r="BS78" s="18"/>
      <c r="BT78" s="18"/>
      <c r="BU78" s="18"/>
      <c r="BV78" s="18"/>
      <c r="BW78" s="18"/>
      <c r="BX78" s="18"/>
      <c r="BY78" s="18"/>
      <c r="BZ78" s="18"/>
      <c r="CA78" s="18"/>
      <c r="CB78" s="18"/>
      <c r="CC78" s="18"/>
      <c r="CD78" s="18"/>
    </row>
    <row r="79" spans="1:82" ht="99.95" customHeight="1" x14ac:dyDescent="0.3">
      <c r="A79" s="183">
        <v>32</v>
      </c>
      <c r="B79" s="183" t="s">
        <v>412</v>
      </c>
      <c r="C79" s="183" t="s">
        <v>195</v>
      </c>
      <c r="D79" s="183" t="s">
        <v>217</v>
      </c>
      <c r="E79" s="183"/>
      <c r="F79" s="189" t="s">
        <v>531</v>
      </c>
      <c r="G79" s="189" t="s">
        <v>532</v>
      </c>
      <c r="H79" s="183" t="str">
        <f>_xlfn.CONCAT("Posibilidad de afectación ",IF(C79='Opciones Tratamiento'!$E$2,"económica",IF(C79='Opciones Tratamiento'!$E$4,"económica y reputacional",LOWER(C79)))," por ",LOWER(F79), ", debido a ",LOWER(G79))</f>
        <v>Posibilidad de afectación económica y reputacional por incumplimiento en el pago oportuno de las obligaciones de la entidad, debido a incorrecta programación del pac
demoras en la recepción de la información requerida para el pago de las obligaciones
falta de apropiación presupuestal requerida para financiar el pago de las obligaciones
errores en el diligenciamiento de los formatos necesarios para el tramite de pagos
falta en los soportes requeridos para el tramite de pago</v>
      </c>
      <c r="I79" s="189" t="s">
        <v>420</v>
      </c>
      <c r="J79" s="185" t="s">
        <v>230</v>
      </c>
      <c r="K79" s="185" t="s">
        <v>237</v>
      </c>
      <c r="L79" s="187" t="str">
        <f>IF(OR(K79='Opciones Tratamiento'!$K$14,K79='Opciones Tratamiento'!$K$15,K79='Opciones Tratamiento'!$K$16),"Muy Baja",IF(OR(K79='Opciones Tratamiento'!$K$10,K79='Opciones Tratamiento'!$K$11,K79='Opciones Tratamiento'!$K$12,K79='Opciones Tratamiento'!$K$13),"Baja",IF(OR(K79='Opciones Tratamiento'!$K$4,K79='Opciones Tratamiento'!$K$5,K79='Opciones Tratamiento'!$K$6,K79='Opciones Tratamiento'!$K$7,K79='Opciones Tratamiento'!$K$8,K79='Opciones Tratamiento'!$K$9),"Media",IF(K79='Opciones Tratamiento'!$K$3,"Alta",IF(OR(K79='Opciones Tratamiento'!$K$2,K79='Opciones Tratamiento'!$K$17),"Muy Alta")))))</f>
        <v>Muy Alta</v>
      </c>
      <c r="M79" s="188">
        <f>IF(L79="","",IF(L79="Muy Baja",0.2,IF(L79="Baja",0.4,IF(L79="Media",0.6,IF(L79="Alta",0.8,IF(L79="Muy Alta",1,))))))</f>
        <v>1</v>
      </c>
      <c r="N79" s="188" t="s">
        <v>143</v>
      </c>
      <c r="O79" s="188" t="str">
        <f ca="1">IF(NOT(ISERROR(MATCH(N79,'Tabla Impacto'!$B$221:$B$223,0))),'Tabla Impacto'!$F$223&amp;"Por favor no seleccionar los criterios de impacto(Afectación Económica o presupuestal y Pérdida Reputacional)",N79)</f>
        <v xml:space="preserve">     Afectación menor a 10 SMLMV .</v>
      </c>
      <c r="P79" s="130"/>
      <c r="Q79" s="130"/>
      <c r="R79" s="130"/>
      <c r="S79" s="130"/>
      <c r="T79" s="130"/>
      <c r="U79" s="140"/>
      <c r="V79" s="140"/>
      <c r="W79" s="140"/>
      <c r="X79" s="140"/>
      <c r="Y79" s="140"/>
      <c r="Z79" s="140"/>
      <c r="AA79" s="140"/>
      <c r="AB79" s="140"/>
      <c r="AC79" s="140"/>
      <c r="AD79" s="130"/>
      <c r="AE79" s="130"/>
      <c r="AF79" s="130"/>
      <c r="AG79" s="130"/>
      <c r="AH79" s="130"/>
      <c r="AI79" s="187" t="str">
        <f ca="1">IF(OR(D79='Opciones Tratamiento'!$H$2,D79='Opciones Tratamiento'!$H$4),IF(OR(O79='Tabla Impacto'!$C$11,O79='Tabla Impacto'!$D$11),"Leve",IF(OR(O79='Tabla Impacto'!$C$12,O79='Tabla Impacto'!$D$12),"Menor",IF(OR(O79='Tabla Impacto'!$C$13,O79='Tabla Impacto'!$D$13),"Moderado",IF(OR(O79='Tabla Impacto'!$C$14,O79='Tabla Impacto'!$D$14),"Mayor",IF(OR(O79='Tabla Impacto'!$C$15,O79='Tabla Impacto'!$D$15),"Catastrófico",""))))),IF(D79='Opciones Tratamiento'!$H$3,IF(COUNTIF('Mapa final'!P79:AH79,"Si")&lt;=5,"Moderado",IF(AND(COUNTIF('Mapa final'!P79:AH79,"Si")&gt;5,COUNTIF('Mapa final'!P79:AH79,"Si")&lt;=10),"Mayor",IF(COUNTIF('Mapa final'!P79:AH79,"Si")&gt;10,"Catastrófico","")))))</f>
        <v>Leve</v>
      </c>
      <c r="AJ79" s="188">
        <f ca="1">IF(AI79="","",IF(AI79="Leve",0.2,IF(AI79="Menor",0.4,IF(AI79="Moderado",0.6,IF(AI79="Mayor",0.8,IF(AI79="Catastrófico",1,))))))</f>
        <v>0.2</v>
      </c>
      <c r="AK79" s="190" t="str">
        <f ca="1">IF(OR(AND(L79="Muy Baja",AI79="Leve"),AND(L79="Muy Baja",AI79="Menor"),AND(L79="Baja",AI79="Leve")),"Bajo",IF(OR(AND(L79="Muy baja",AI79="Moderado"),AND(L79="Baja",AI79="Menor"),AND(L79="Baja",AI79="Moderado"),AND(L79="Media",AI79="Leve"),AND(L79="Media",AI79="Menor"),AND(L79="Media",AI79="Moderado"),AND(L79="Alta",AI79="Leve"),AND(L79="Alta",AI79="Menor")),"Moderado",IF(OR(AND(L79="Muy Baja",AI79="Mayor"),AND(L79="Baja",AI79="Mayor"),AND(L79="Media",AI79="Mayor"),AND(L79="Alta",AI79="Moderado"),AND(L79="Alta",AI79="Mayor"),AND(L79="Muy Alta",AI79="Leve"),AND(L79="Muy Alta",AI79="Menor"),AND(L79="Muy Alta",AI79="Moderado"),AND(L79="Muy Alta",AI79="Mayor")),"Alto",IF(OR(AND(L79="Muy Baja",AI79="Catastrófico"),AND(L79="Baja",AI79="Catastrófico"),AND(L79="Media",AI79="Catastrófico"),AND(L79="Alta",AI79="Catastrófico"),AND(L79="Muy Alta",AI79="Catastrófico")),"Extremo",""))))</f>
        <v>Alto</v>
      </c>
      <c r="AL79" s="127">
        <v>1</v>
      </c>
      <c r="AM79" s="127"/>
      <c r="AN79" s="127" t="e">
        <f>VLOOKUP(AM79,'Opciones Tratamiento'!$M$2:$O$37,3,FALSE)</f>
        <v>#N/A</v>
      </c>
      <c r="AO79" s="132" t="e">
        <f>VLOOKUP(AM79,'Opciones Tratamiento'!$M$2:$O$37,2,FALSE)</f>
        <v>#N/A</v>
      </c>
      <c r="AP79" s="133" t="s">
        <v>533</v>
      </c>
      <c r="AQ79" s="127" t="str">
        <f t="shared" ref="AQ79:AQ81" si="152">IF(OR(AR79="Preventivo",AR79="Detectivo"),"Probabilidad",IF(AR79="Correctivo","Impacto",""))</f>
        <v>Probabilidad</v>
      </c>
      <c r="AR79" s="134" t="s">
        <v>165</v>
      </c>
      <c r="AS79" s="134" t="s">
        <v>173</v>
      </c>
      <c r="AT79" s="135" t="str">
        <f t="shared" ref="AT79:AT81" si="153">IF(AND(AR79="Preventivo",AS79="Automático"),"50%",IF(AND(AR79="Preventivo",AS79="Manual"),"40%",IF(AND(AR79="Detectivo",AS79="Automático"),"40%",IF(AND(AR79="Detectivo",AS79="Manual"),"30%",IF(AND(AR79="Correctivo",AS79="Automático"),"35%",IF(AND(AR79="Correctivo",AS79="Manual"),"25%",""))))))</f>
        <v>40%</v>
      </c>
      <c r="AU79" s="134" t="s">
        <v>176</v>
      </c>
      <c r="AV79" s="134" t="s">
        <v>181</v>
      </c>
      <c r="AW79" s="134" t="s">
        <v>185</v>
      </c>
      <c r="AX79" s="136">
        <f>IFERROR(IF(AQ79="Probabilidad",(M79-(+M79*AT79)),IF(AQ79="Impacto",M79,"")),"")</f>
        <v>0.6</v>
      </c>
      <c r="AY79" s="137" t="str">
        <f t="shared" ref="AY79:AY81" si="154">IFERROR(IF(AX79="","",IF(AX79&lt;=0.2,"Muy Baja",IF(AX79&lt;=0.4,"Baja",IF(AX79&lt;=0.6,"Media",IF(AX79&lt;=0.8,"Alta","Muy Alta"))))),"")</f>
        <v>Media</v>
      </c>
      <c r="AZ79" s="135">
        <f t="shared" ref="AZ79:AZ81" si="155">+AX79</f>
        <v>0.6</v>
      </c>
      <c r="BA79" s="137" t="str">
        <f t="shared" ref="BA79:BA81" ca="1" si="156">IFERROR(IF(BB79="","",IF(BB79&lt;=0.2,"Leve",IF(BB79&lt;=0.4,"Menor",IF(BB79&lt;=0.6,"Moderado",IF(BB79&lt;=0.8,"Mayor","Catastrófico"))))),"")</f>
        <v>Leve</v>
      </c>
      <c r="BB79" s="135">
        <f ca="1">IFERROR(IF(AQ79="Impacto",(AJ79-(+AJ79*AT79)),IF(AQ79="Probabilidad",AJ79,"")),"")</f>
        <v>0.2</v>
      </c>
      <c r="BC79" s="138" t="str">
        <f t="shared" ref="BC79:BC81" ca="1" si="157">IFERROR(IF(OR(AND(AY79="Muy Baja",BA79="Leve"),AND(AY79="Muy Baja",BA79="Menor"),AND(AY79="Baja",BA79="Leve")),"Bajo",IF(OR(AND(AY79="Muy baja",BA79="Moderado"),AND(AY79="Baja",BA79="Menor"),AND(AY79="Baja",BA79="Moderado"),AND(AY79="Media",BA79="Leve"),AND(AY79="Media",BA79="Menor"),AND(AY79="Media",BA79="Moderado"),AND(AY79="Alta",BA79="Leve"),AND(AY79="Alta",BA79="Menor")),"Moderado",IF(OR(AND(AY79="Muy Baja",BA79="Mayor"),AND(AY79="Baja",BA79="Mayor"),AND(AY79="Media",BA79="Mayor"),AND(AY79="Alta",BA79="Moderado"),AND(AY79="Alta",BA79="Mayor"),AND(AY79="Muy Alta",BA79="Leve"),AND(AY79="Muy Alta",BA79="Menor"),AND(AY79="Muy Alta",BA79="Moderado"),AND(AY79="Muy Alta",BA79="Mayor")),"Alto",IF(OR(AND(AY79="Muy Baja",BA79="Catastrófico"),AND(AY79="Baja",BA79="Catastrófico"),AND(AY79="Media",BA79="Catastrófico"),AND(AY79="Alta",BA79="Catastrófico"),AND(AY79="Muy Alta",BA79="Catastrófico")),"Extremo","")))),"")</f>
        <v>Moderado</v>
      </c>
      <c r="BD79" s="134" t="s">
        <v>196</v>
      </c>
      <c r="BE79" s="120"/>
      <c r="BF79" s="127"/>
      <c r="BG79" s="139"/>
      <c r="BH79" s="139"/>
      <c r="BI79" s="120"/>
      <c r="BJ79" s="127"/>
      <c r="BK79" s="18"/>
      <c r="BL79" s="18"/>
      <c r="BM79" s="18"/>
      <c r="BN79" s="18"/>
      <c r="BO79" s="18"/>
      <c r="BP79" s="18"/>
      <c r="BQ79" s="18"/>
      <c r="BR79" s="18"/>
      <c r="BS79" s="18"/>
      <c r="BT79" s="18"/>
      <c r="BU79" s="18"/>
      <c r="BV79" s="18"/>
      <c r="BW79" s="18"/>
      <c r="BX79" s="18"/>
      <c r="BY79" s="18"/>
      <c r="BZ79" s="18"/>
      <c r="CA79" s="18"/>
      <c r="CB79" s="18"/>
      <c r="CC79" s="18"/>
      <c r="CD79" s="18"/>
    </row>
    <row r="80" spans="1:82" ht="99.95" customHeight="1" x14ac:dyDescent="0.3">
      <c r="A80" s="184"/>
      <c r="B80" s="184"/>
      <c r="C80" s="186"/>
      <c r="D80" s="186"/>
      <c r="E80" s="186"/>
      <c r="F80" s="189"/>
      <c r="G80" s="189"/>
      <c r="H80" s="186"/>
      <c r="I80" s="189"/>
      <c r="J80" s="186"/>
      <c r="K80" s="186"/>
      <c r="L80" s="186"/>
      <c r="M80" s="186"/>
      <c r="N80" s="186"/>
      <c r="O80" s="186"/>
      <c r="P80" s="130"/>
      <c r="Q80" s="130"/>
      <c r="R80" s="130"/>
      <c r="S80" s="130"/>
      <c r="T80" s="130"/>
      <c r="U80" s="140"/>
      <c r="V80" s="140"/>
      <c r="W80" s="140"/>
      <c r="X80" s="140"/>
      <c r="Y80" s="140"/>
      <c r="Z80" s="140"/>
      <c r="AA80" s="140"/>
      <c r="AB80" s="140"/>
      <c r="AC80" s="140"/>
      <c r="AD80" s="130"/>
      <c r="AE80" s="130"/>
      <c r="AF80" s="130"/>
      <c r="AG80" s="130"/>
      <c r="AH80" s="130"/>
      <c r="AI80" s="186"/>
      <c r="AJ80" s="186"/>
      <c r="AK80" s="186"/>
      <c r="AL80" s="127">
        <v>2</v>
      </c>
      <c r="AM80" s="127"/>
      <c r="AN80" s="127" t="e">
        <f>VLOOKUP(AM80,'Opciones Tratamiento'!$M$2:$O$37,3,FALSE)</f>
        <v>#N/A</v>
      </c>
      <c r="AO80" s="132" t="e">
        <f>VLOOKUP(AM80,'Opciones Tratamiento'!$M$2:$O$37,2,FALSE)</f>
        <v>#N/A</v>
      </c>
      <c r="AP80" s="133" t="s">
        <v>534</v>
      </c>
      <c r="AQ80" s="127" t="str">
        <f t="shared" si="152"/>
        <v>Probabilidad</v>
      </c>
      <c r="AR80" s="134" t="s">
        <v>165</v>
      </c>
      <c r="AS80" s="134" t="s">
        <v>173</v>
      </c>
      <c r="AT80" s="135" t="str">
        <f t="shared" si="153"/>
        <v>40%</v>
      </c>
      <c r="AU80" s="134" t="s">
        <v>176</v>
      </c>
      <c r="AV80" s="134" t="s">
        <v>181</v>
      </c>
      <c r="AW80" s="134" t="s">
        <v>185</v>
      </c>
      <c r="AX80" s="136">
        <f>IFERROR(IF(AND(AQ79="Probabilidad",AQ80="Probabilidad"),(AZ79-(+AZ79*AT80)),IF(AQ80="Probabilidad",(M79-(+M79*AT80)),IF(AQ80="Impacto",AZ79,""))),"")</f>
        <v>0.36</v>
      </c>
      <c r="AY80" s="137" t="str">
        <f t="shared" si="154"/>
        <v>Baja</v>
      </c>
      <c r="AZ80" s="135">
        <f t="shared" si="155"/>
        <v>0.36</v>
      </c>
      <c r="BA80" s="137" t="str">
        <f t="shared" ca="1" si="156"/>
        <v>Moderado</v>
      </c>
      <c r="BB80" s="135">
        <f ca="1">IFERROR(IF(AND(AQ79="Impacto",AQ80="Impacto"),(BB78-(+BB78*AT80)),IF(AQ80="Impacto",($AJ$25-(+$AJ$25*AT80)),IF(AQ80="Probabilidad",BB78,""))),"")</f>
        <v>0.6</v>
      </c>
      <c r="BC80" s="138" t="str">
        <f t="shared" ca="1" si="157"/>
        <v>Moderado</v>
      </c>
      <c r="BD80" s="134" t="s">
        <v>196</v>
      </c>
      <c r="BE80" s="120"/>
      <c r="BF80" s="127"/>
      <c r="BG80" s="139"/>
      <c r="BH80" s="139"/>
      <c r="BI80" s="120"/>
      <c r="BJ80" s="127"/>
      <c r="BK80" s="24"/>
      <c r="BL80" s="24"/>
      <c r="BM80" s="24"/>
      <c r="BN80" s="24"/>
      <c r="BO80" s="24"/>
      <c r="BP80" s="24"/>
      <c r="BQ80" s="24"/>
      <c r="BR80" s="24"/>
      <c r="BS80" s="24"/>
      <c r="BT80" s="24"/>
      <c r="BU80" s="24"/>
      <c r="BV80" s="24"/>
      <c r="BW80" s="24"/>
      <c r="BX80" s="24"/>
      <c r="BY80" s="24"/>
      <c r="BZ80" s="24"/>
      <c r="CA80" s="24"/>
      <c r="CB80" s="24"/>
      <c r="CC80" s="24"/>
      <c r="CD80" s="24"/>
    </row>
    <row r="81" spans="1:82" ht="99.95" customHeight="1" x14ac:dyDescent="0.3">
      <c r="A81" s="184"/>
      <c r="B81" s="184"/>
      <c r="C81" s="186"/>
      <c r="D81" s="186"/>
      <c r="E81" s="186"/>
      <c r="F81" s="189"/>
      <c r="G81" s="189"/>
      <c r="H81" s="186"/>
      <c r="I81" s="189"/>
      <c r="J81" s="186"/>
      <c r="K81" s="186"/>
      <c r="L81" s="186"/>
      <c r="M81" s="186"/>
      <c r="N81" s="186"/>
      <c r="O81" s="186"/>
      <c r="P81" s="130"/>
      <c r="Q81" s="130"/>
      <c r="R81" s="130"/>
      <c r="S81" s="130"/>
      <c r="T81" s="130"/>
      <c r="U81" s="140"/>
      <c r="V81" s="140"/>
      <c r="W81" s="140"/>
      <c r="X81" s="140"/>
      <c r="Y81" s="140"/>
      <c r="Z81" s="140"/>
      <c r="AA81" s="140"/>
      <c r="AB81" s="140"/>
      <c r="AC81" s="140"/>
      <c r="AD81" s="130"/>
      <c r="AE81" s="130"/>
      <c r="AF81" s="130"/>
      <c r="AG81" s="130"/>
      <c r="AH81" s="130"/>
      <c r="AI81" s="186"/>
      <c r="AJ81" s="186"/>
      <c r="AK81" s="186"/>
      <c r="AL81" s="127">
        <v>3</v>
      </c>
      <c r="AM81" s="127"/>
      <c r="AN81" s="127" t="e">
        <f>VLOOKUP(AM81,'Opciones Tratamiento'!$M$2:$O$37,3,FALSE)</f>
        <v>#N/A</v>
      </c>
      <c r="AO81" s="132" t="e">
        <f>VLOOKUP(AM81,'Opciones Tratamiento'!$M$2:$O$37,2,FALSE)</f>
        <v>#N/A</v>
      </c>
      <c r="AP81" s="133" t="s">
        <v>606</v>
      </c>
      <c r="AQ81" s="127" t="str">
        <f t="shared" si="152"/>
        <v>Probabilidad</v>
      </c>
      <c r="AR81" s="134" t="s">
        <v>167</v>
      </c>
      <c r="AS81" s="134" t="s">
        <v>173</v>
      </c>
      <c r="AT81" s="135" t="str">
        <f t="shared" si="153"/>
        <v>30%</v>
      </c>
      <c r="AU81" s="134" t="s">
        <v>176</v>
      </c>
      <c r="AV81" s="134" t="s">
        <v>181</v>
      </c>
      <c r="AW81" s="134" t="s">
        <v>185</v>
      </c>
      <c r="AX81" s="136">
        <f t="shared" ref="AX81" si="158">IFERROR(IF(AND(AQ80="Probabilidad",AQ81="Probabilidad"),(AZ80-(+AZ80*AT81)),IF(AND(AQ80="Impacto",AQ81="Probabilidad"),(AZ79-(+AZ79*AT81)),IF(AQ81="Impacto",AZ80,""))),"")</f>
        <v>0.252</v>
      </c>
      <c r="AY81" s="137" t="str">
        <f t="shared" si="154"/>
        <v>Baja</v>
      </c>
      <c r="AZ81" s="135">
        <f t="shared" si="155"/>
        <v>0.252</v>
      </c>
      <c r="BA81" s="137" t="str">
        <f t="shared" ca="1" si="156"/>
        <v>Moderado</v>
      </c>
      <c r="BB81" s="135">
        <f t="shared" ref="BB81" ca="1" si="159">IFERROR(IF(AND(AQ80="Impacto",AQ81="Impacto"),(BB80-(+BB80*AT81)),IF(AND(AQ80="Probabilidad",AQ81="Impacto"),(BB79-(+BB79*AT81)),IF(AQ81="Probabilidad",BB80,""))),"")</f>
        <v>0.6</v>
      </c>
      <c r="BC81" s="138" t="str">
        <f t="shared" ca="1" si="157"/>
        <v>Moderado</v>
      </c>
      <c r="BD81" s="134" t="s">
        <v>190</v>
      </c>
      <c r="BE81" s="120"/>
      <c r="BF81" s="127"/>
      <c r="BG81" s="139"/>
      <c r="BH81" s="139"/>
      <c r="BI81" s="120"/>
      <c r="BJ81" s="127"/>
      <c r="BK81" s="24"/>
      <c r="BL81" s="24"/>
      <c r="BM81" s="24"/>
      <c r="BN81" s="24"/>
      <c r="BO81" s="24"/>
      <c r="BP81" s="24"/>
      <c r="BQ81" s="24"/>
      <c r="BR81" s="24"/>
      <c r="BS81" s="24"/>
      <c r="BT81" s="24"/>
      <c r="BU81" s="24"/>
      <c r="BV81" s="24"/>
      <c r="BW81" s="24"/>
      <c r="BX81" s="24"/>
      <c r="BY81" s="24"/>
      <c r="BZ81" s="24"/>
      <c r="CA81" s="24"/>
      <c r="CB81" s="24"/>
      <c r="CC81" s="24"/>
      <c r="CD81" s="24"/>
    </row>
    <row r="82" spans="1:82" ht="151.5" customHeight="1" x14ac:dyDescent="0.3">
      <c r="A82" s="120">
        <v>33</v>
      </c>
      <c r="B82" s="120" t="s">
        <v>412</v>
      </c>
      <c r="C82" s="120" t="s">
        <v>193</v>
      </c>
      <c r="D82" s="120" t="s">
        <v>217</v>
      </c>
      <c r="E82" s="120"/>
      <c r="F82" s="120" t="s">
        <v>535</v>
      </c>
      <c r="G82" s="120" t="s">
        <v>536</v>
      </c>
      <c r="H82" s="120" t="str">
        <f>_xlfn.CONCAT("Posibilidad de afectación ",IF(C82='Opciones Tratamiento'!$E$2,"económica",IF(C82='Opciones Tratamiento'!$E$4,"económica y reputacional",LOWER(C82)))," por ",LOWER(F82), ", debido a ",LOWER(G82))</f>
        <v>Posibilidad de afectación reputacional por constitución inadecuada e inexacta de reservas presupuestales , debido a deficiente supervisión de contratos
demoras en el trámite de las actas de liquidación y de la no ejecución de contratos por parte del supervisor
desconocimiento de las normas para las constitución de reservas por parte de los supervisores</v>
      </c>
      <c r="I82" s="120" t="s">
        <v>201</v>
      </c>
      <c r="J82" s="127" t="s">
        <v>231</v>
      </c>
      <c r="K82" s="127" t="s">
        <v>255</v>
      </c>
      <c r="L82" s="129" t="str">
        <f>IF(OR(K82='Opciones Tratamiento'!$K$14,K82='Opciones Tratamiento'!$K$15,K82='Opciones Tratamiento'!$K$16),"Muy Baja",IF(OR(K82='Opciones Tratamiento'!$K$10,K82='Opciones Tratamiento'!$K$11,K82='Opciones Tratamiento'!$K$12,K82='Opciones Tratamiento'!$K$13),"Baja",IF(OR(K82='Opciones Tratamiento'!$K$4,K82='Opciones Tratamiento'!$K$5,K82='Opciones Tratamiento'!$K$6,K82='Opciones Tratamiento'!$K$7,K82='Opciones Tratamiento'!$K$8,K82='Opciones Tratamiento'!$K$9),"Media",IF(K82='Opciones Tratamiento'!$K$3,"Alta",IF(OR(K82='Opciones Tratamiento'!$K$2,K82='Opciones Tratamiento'!$K$17),"Muy Alta")))))</f>
        <v>Muy Baja</v>
      </c>
      <c r="M82" s="130">
        <f>IF(L82="","",IF(L82="Muy Baja",0.2,IF(L82="Baja",0.4,IF(L82="Media",0.6,IF(L82="Alta",0.8,IF(L82="Muy Alta",1,))))))</f>
        <v>0.2</v>
      </c>
      <c r="N82" s="130" t="s">
        <v>147</v>
      </c>
      <c r="O82" s="130" t="str">
        <f ca="1">IF(NOT(ISERROR(MATCH(N82,'Tabla Impacto'!$B$221:$B$223,0))),'Tabla Impacto'!$F$223&amp;"Por favor no seleccionar los criterios de impacto(Afectación Económica o presupuestal y Pérdida Reputacional)",N82)</f>
        <v xml:space="preserve">     El riesgo afecta la imagen de la entidad internamente, de conocimiento general, nivel interno, de junta dircetiva y accionistas y/o de provedores</v>
      </c>
      <c r="P82" s="130"/>
      <c r="Q82" s="130"/>
      <c r="R82" s="130"/>
      <c r="S82" s="130"/>
      <c r="T82" s="130"/>
      <c r="U82" s="140"/>
      <c r="V82" s="140"/>
      <c r="W82" s="140"/>
      <c r="X82" s="140"/>
      <c r="Y82" s="140"/>
      <c r="Z82" s="140"/>
      <c r="AA82" s="140"/>
      <c r="AB82" s="140"/>
      <c r="AC82" s="140"/>
      <c r="AD82" s="130"/>
      <c r="AE82" s="130"/>
      <c r="AF82" s="130"/>
      <c r="AG82" s="130"/>
      <c r="AH82" s="130"/>
      <c r="AI82" s="129" t="str">
        <f ca="1">IF(OR(D82='Opciones Tratamiento'!$H$2,D82='Opciones Tratamiento'!$H$4),IF(OR(O82='Tabla Impacto'!$C$11,O82='Tabla Impacto'!$D$11),"Leve",IF(OR(O82='Tabla Impacto'!$C$12,O82='Tabla Impacto'!$D$12),"Menor",IF(OR(O82='Tabla Impacto'!$C$13,O82='Tabla Impacto'!$D$13),"Moderado",IF(OR(O82='Tabla Impacto'!$C$14,O82='Tabla Impacto'!$D$14),"Mayor",IF(OR(O82='Tabla Impacto'!$C$15,O82='Tabla Impacto'!$D$15),"Catastrófico",""))))),IF(D82='Opciones Tratamiento'!$H$3,IF(COUNTIF('Mapa final'!P82:AH82,"Si")&lt;=5,"Moderado",IF(AND(COUNTIF('Mapa final'!P82:AH82,"Si")&gt;5,COUNTIF('Mapa final'!P82:AH82,"Si")&lt;=10),"Mayor",IF(COUNTIF('Mapa final'!P82:AH82,"Si")&gt;10,"Catastrófico","")))))</f>
        <v>Menor</v>
      </c>
      <c r="AJ82" s="130">
        <f ca="1">IF(AI82="","",IF(AI82="Leve",0.2,IF(AI82="Menor",0.4,IF(AI82="Moderado",0.6,IF(AI82="Mayor",0.8,IF(AI82="Catastrófico",1,))))))</f>
        <v>0.4</v>
      </c>
      <c r="AK82" s="131" t="str">
        <f ca="1">IF(OR(AND(L82="Muy Baja",AI82="Leve"),AND(L82="Muy Baja",AI82="Menor"),AND(L82="Baja",AI82="Leve")),"Bajo",IF(OR(AND(L82="Muy baja",AI82="Moderado"),AND(L82="Baja",AI82="Menor"),AND(L82="Baja",AI82="Moderado"),AND(L82="Media",AI82="Leve"),AND(L82="Media",AI82="Menor"),AND(L82="Media",AI82="Moderado"),AND(L82="Alta",AI82="Leve"),AND(L82="Alta",AI82="Menor")),"Moderado",IF(OR(AND(L82="Muy Baja",AI82="Mayor"),AND(L82="Baja",AI82="Mayor"),AND(L82="Media",AI82="Mayor"),AND(L82="Alta",AI82="Moderado"),AND(L82="Alta",AI82="Mayor"),AND(L82="Muy Alta",AI82="Leve"),AND(L82="Muy Alta",AI82="Menor"),AND(L82="Muy Alta",AI82="Moderado"),AND(L82="Muy Alta",AI82="Mayor")),"Alto",IF(OR(AND(L82="Muy Baja",AI82="Catastrófico"),AND(L82="Baja",AI82="Catastrófico"),AND(L82="Media",AI82="Catastrófico"),AND(L82="Alta",AI82="Catastrófico"),AND(L82="Muy Alta",AI82="Catastrófico")),"Extremo",""))))</f>
        <v>Bajo</v>
      </c>
      <c r="AL82" s="127">
        <v>1</v>
      </c>
      <c r="AM82" s="127"/>
      <c r="AN82" s="127" t="e">
        <f>VLOOKUP(AM82,'Opciones Tratamiento'!$M$2:$O$37,3,FALSE)</f>
        <v>#N/A</v>
      </c>
      <c r="AO82" s="132" t="e">
        <f>VLOOKUP(AM82,'Opciones Tratamiento'!$M$2:$O$37,2,FALSE)</f>
        <v>#N/A</v>
      </c>
      <c r="AP82" s="132" t="s">
        <v>607</v>
      </c>
      <c r="AQ82" s="127" t="str">
        <f t="shared" ref="AQ82" si="160">IF(OR(AR82="Preventivo",AR82="Detectivo"),"Probabilidad",IF(AR82="Correctivo","Impacto",""))</f>
        <v>Probabilidad</v>
      </c>
      <c r="AR82" s="134" t="s">
        <v>165</v>
      </c>
      <c r="AS82" s="134" t="s">
        <v>173</v>
      </c>
      <c r="AT82" s="135" t="str">
        <f t="shared" ref="AT82" si="161">IF(AND(AR82="Preventivo",AS82="Automático"),"50%",IF(AND(AR82="Preventivo",AS82="Manual"),"40%",IF(AND(AR82="Detectivo",AS82="Automático"),"40%",IF(AND(AR82="Detectivo",AS82="Manual"),"30%",IF(AND(AR82="Correctivo",AS82="Automático"),"35%",IF(AND(AR82="Correctivo",AS82="Manual"),"25%",""))))))</f>
        <v>40%</v>
      </c>
      <c r="AU82" s="134" t="s">
        <v>176</v>
      </c>
      <c r="AV82" s="134" t="s">
        <v>181</v>
      </c>
      <c r="AW82" s="134" t="s">
        <v>185</v>
      </c>
      <c r="AX82" s="136">
        <f>IFERROR(IF(AQ82="Probabilidad",(M82-(+M82*AT82)),IF(AQ82="Impacto",M82,"")),"")</f>
        <v>0.12</v>
      </c>
      <c r="AY82" s="137" t="str">
        <f t="shared" ref="AY82" si="162">IFERROR(IF(AX82="","",IF(AX82&lt;=0.2,"Muy Baja",IF(AX82&lt;=0.4,"Baja",IF(AX82&lt;=0.6,"Media",IF(AX82&lt;=0.8,"Alta","Muy Alta"))))),"")</f>
        <v>Muy Baja</v>
      </c>
      <c r="AZ82" s="135">
        <f t="shared" ref="AZ82" si="163">+AX82</f>
        <v>0.12</v>
      </c>
      <c r="BA82" s="137" t="str">
        <f t="shared" ref="BA82" ca="1" si="164">IFERROR(IF(BB82="","",IF(BB82&lt;=0.2,"Leve",IF(BB82&lt;=0.4,"Menor",IF(BB82&lt;=0.6,"Moderado",IF(BB82&lt;=0.8,"Mayor","Catastrófico"))))),"")</f>
        <v>Menor</v>
      </c>
      <c r="BB82" s="135">
        <f ca="1">IFERROR(IF(AQ82="Impacto",(AJ82-(+AJ82*AT82)),IF(AQ82="Probabilidad",AJ82,"")),"")</f>
        <v>0.4</v>
      </c>
      <c r="BC82" s="138" t="str">
        <f t="shared" ref="BC82" ca="1" si="165">IFERROR(IF(OR(AND(AY82="Muy Baja",BA82="Leve"),AND(AY82="Muy Baja",BA82="Menor"),AND(AY82="Baja",BA82="Leve")),"Bajo",IF(OR(AND(AY82="Muy baja",BA82="Moderado"),AND(AY82="Baja",BA82="Menor"),AND(AY82="Baja",BA82="Moderado"),AND(AY82="Media",BA82="Leve"),AND(AY82="Media",BA82="Menor"),AND(AY82="Media",BA82="Moderado"),AND(AY82="Alta",BA82="Leve"),AND(AY82="Alta",BA82="Menor")),"Moderado",IF(OR(AND(AY82="Muy Baja",BA82="Mayor"),AND(AY82="Baja",BA82="Mayor"),AND(AY82="Media",BA82="Mayor"),AND(AY82="Alta",BA82="Moderado"),AND(AY82="Alta",BA82="Mayor"),AND(AY82="Muy Alta",BA82="Leve"),AND(AY82="Muy Alta",BA82="Menor"),AND(AY82="Muy Alta",BA82="Moderado"),AND(AY82="Muy Alta",BA82="Mayor")),"Alto",IF(OR(AND(AY82="Muy Baja",BA82="Catastrófico"),AND(AY82="Baja",BA82="Catastrófico"),AND(AY82="Media",BA82="Catastrófico"),AND(AY82="Alta",BA82="Catastrófico"),AND(AY82="Muy Alta",BA82="Catastrófico")),"Extremo","")))),"")</f>
        <v>Bajo</v>
      </c>
      <c r="BD82" s="134" t="s">
        <v>190</v>
      </c>
      <c r="BE82" s="120"/>
      <c r="BF82" s="127"/>
      <c r="BG82" s="139"/>
      <c r="BH82" s="139"/>
      <c r="BI82" s="120"/>
      <c r="BJ82" s="127"/>
      <c r="BK82" s="18"/>
      <c r="BL82" s="18"/>
      <c r="BM82" s="18"/>
      <c r="BN82" s="18"/>
      <c r="BO82" s="18"/>
      <c r="BP82" s="18"/>
      <c r="BQ82" s="18"/>
      <c r="BR82" s="18"/>
      <c r="BS82" s="18"/>
      <c r="BT82" s="18"/>
      <c r="BU82" s="18"/>
      <c r="BV82" s="18"/>
      <c r="BW82" s="18"/>
      <c r="BX82" s="18"/>
      <c r="BY82" s="18"/>
      <c r="BZ82" s="18"/>
      <c r="CA82" s="18"/>
      <c r="CB82" s="18"/>
      <c r="CC82" s="18"/>
      <c r="CD82" s="18"/>
    </row>
    <row r="83" spans="1:82" ht="117.6" customHeight="1" x14ac:dyDescent="0.3">
      <c r="A83" s="120">
        <v>34</v>
      </c>
      <c r="B83" s="120" t="s">
        <v>412</v>
      </c>
      <c r="C83" s="120" t="s">
        <v>193</v>
      </c>
      <c r="D83" s="120" t="s">
        <v>217</v>
      </c>
      <c r="E83" s="120"/>
      <c r="F83" s="120" t="s">
        <v>538</v>
      </c>
      <c r="G83" s="120" t="s">
        <v>537</v>
      </c>
      <c r="H83" s="120" t="str">
        <f>_xlfn.CONCAT("Posibilidad de afectación ",IF(C83='Opciones Tratamiento'!$E$2,"económica",IF(C83='Opciones Tratamiento'!$E$4,"económica y reputacional",LOWER(C83)))," por ",LOWER(F83), ", debido a ",LOWER(G83))</f>
        <v>Posibilidad de afectación reputacional por incumplimiento del pac, debido a inoportunidad en la radicación de los documentos para los pagos.
inadecuado reporte de programación del pac por parte de las dependencias</v>
      </c>
      <c r="I83" s="120" t="s">
        <v>201</v>
      </c>
      <c r="J83" s="127" t="s">
        <v>230</v>
      </c>
      <c r="K83" s="127" t="s">
        <v>248</v>
      </c>
      <c r="L83" s="129" t="str">
        <f>IF(OR(K83='Opciones Tratamiento'!$K$14,K83='Opciones Tratamiento'!$K$15,K83='Opciones Tratamiento'!$K$16),"Muy Baja",IF(OR(K83='Opciones Tratamiento'!$K$10,K83='Opciones Tratamiento'!$K$11,K83='Opciones Tratamiento'!$K$12,K83='Opciones Tratamiento'!$K$13),"Baja",IF(OR(K83='Opciones Tratamiento'!$K$4,K83='Opciones Tratamiento'!$K$5,K83='Opciones Tratamiento'!$K$6,K83='Opciones Tratamiento'!$K$7,K83='Opciones Tratamiento'!$K$8,K83='Opciones Tratamiento'!$K$9),"Media",IF(K83='Opciones Tratamiento'!$K$3,"Alta",IF(OR(K83='Opciones Tratamiento'!$K$2,K83='Opciones Tratamiento'!$K$17),"Muy Alta")))))</f>
        <v>Baja</v>
      </c>
      <c r="M83" s="130">
        <f>IF(L83="","",IF(L83="Muy Baja",0.2,IF(L83="Baja",0.4,IF(L83="Media",0.6,IF(L83="Alta",0.8,IF(L83="Muy Alta",1,))))))</f>
        <v>0.4</v>
      </c>
      <c r="N83" s="130" t="s">
        <v>149</v>
      </c>
      <c r="O83" s="130" t="str">
        <f ca="1">IF(NOT(ISERROR(MATCH(N83,'Tabla Impacto'!$B$221:$B$223,0))),'Tabla Impacto'!$F$223&amp;"Por favor no seleccionar los criterios de impacto(Afectación Económica o presupuestal y Pérdida Reputacional)",N83)</f>
        <v xml:space="preserve">     El riesgo afecta la imagen de la entidad con algunos usuarios de relevancia frente al logro de los objetivos</v>
      </c>
      <c r="P83" s="130"/>
      <c r="Q83" s="130"/>
      <c r="R83" s="130"/>
      <c r="S83" s="130"/>
      <c r="T83" s="130"/>
      <c r="U83" s="140"/>
      <c r="V83" s="140"/>
      <c r="W83" s="140"/>
      <c r="X83" s="140"/>
      <c r="Y83" s="140"/>
      <c r="Z83" s="140"/>
      <c r="AA83" s="140"/>
      <c r="AB83" s="140"/>
      <c r="AC83" s="140"/>
      <c r="AD83" s="130"/>
      <c r="AE83" s="130"/>
      <c r="AF83" s="130"/>
      <c r="AG83" s="130"/>
      <c r="AH83" s="130"/>
      <c r="AI83" s="129" t="str">
        <f ca="1">IF(OR(D83='Opciones Tratamiento'!$H$2,D83='Opciones Tratamiento'!$H$4),IF(OR(O83='Tabla Impacto'!$C$11,O83='Tabla Impacto'!$D$11),"Leve",IF(OR(O83='Tabla Impacto'!$C$12,O83='Tabla Impacto'!$D$12),"Menor",IF(OR(O83='Tabla Impacto'!$C$13,O83='Tabla Impacto'!$D$13),"Moderado",IF(OR(O83='Tabla Impacto'!$C$14,O83='Tabla Impacto'!$D$14),"Mayor",IF(OR(O83='Tabla Impacto'!$C$15,O83='Tabla Impacto'!$D$15),"Catastrófico",""))))),IF(D83='Opciones Tratamiento'!$H$3,IF(COUNTIF('Mapa final'!P83:AH83,"Si")&lt;=5,"Moderado",IF(AND(COUNTIF('Mapa final'!P83:AH83,"Si")&gt;5,COUNTIF('Mapa final'!P83:AH83,"Si")&lt;=10),"Mayor",IF(COUNTIF('Mapa final'!P83:AH83,"Si")&gt;10,"Catastrófico","")))))</f>
        <v>Moderado</v>
      </c>
      <c r="AJ83" s="130">
        <f ca="1">IF(AI83="","",IF(AI83="Leve",0.2,IF(AI83="Menor",0.4,IF(AI83="Moderado",0.6,IF(AI83="Mayor",0.8,IF(AI83="Catastrófico",1,))))))</f>
        <v>0.6</v>
      </c>
      <c r="AK83" s="131" t="str">
        <f ca="1">IF(OR(AND(L83="Muy Baja",AI83="Leve"),AND(L83="Muy Baja",AI83="Menor"),AND(L83="Baja",AI83="Leve")),"Bajo",IF(OR(AND(L83="Muy baja",AI83="Moderado"),AND(L83="Baja",AI83="Menor"),AND(L83="Baja",AI83="Moderado"),AND(L83="Media",AI83="Leve"),AND(L83="Media",AI83="Menor"),AND(L83="Media",AI83="Moderado"),AND(L83="Alta",AI83="Leve"),AND(L83="Alta",AI83="Menor")),"Moderado",IF(OR(AND(L83="Muy Baja",AI83="Mayor"),AND(L83="Baja",AI83="Mayor"),AND(L83="Media",AI83="Mayor"),AND(L83="Alta",AI83="Moderado"),AND(L83="Alta",AI83="Mayor"),AND(L83="Muy Alta",AI83="Leve"),AND(L83="Muy Alta",AI83="Menor"),AND(L83="Muy Alta",AI83="Moderado"),AND(L83="Muy Alta",AI83="Mayor")),"Alto",IF(OR(AND(L83="Muy Baja",AI83="Catastrófico"),AND(L83="Baja",AI83="Catastrófico"),AND(L83="Media",AI83="Catastrófico"),AND(L83="Alta",AI83="Catastrófico"),AND(L83="Muy Alta",AI83="Catastrófico")),"Extremo",""))))</f>
        <v>Moderado</v>
      </c>
      <c r="AL83" s="127">
        <v>1</v>
      </c>
      <c r="AM83" s="127"/>
      <c r="AN83" s="127" t="e">
        <f>VLOOKUP(AM83,'Opciones Tratamiento'!$M$2:$O$37,3,FALSE)</f>
        <v>#N/A</v>
      </c>
      <c r="AO83" s="132" t="e">
        <f>VLOOKUP(AM83,'Opciones Tratamiento'!$M$2:$O$37,2,FALSE)</f>
        <v>#N/A</v>
      </c>
      <c r="AP83" s="132" t="s">
        <v>539</v>
      </c>
      <c r="AQ83" s="127" t="str">
        <f t="shared" ref="AQ83" si="166">IF(OR(AR83="Preventivo",AR83="Detectivo"),"Probabilidad",IF(AR83="Correctivo","Impacto",""))</f>
        <v>Probabilidad</v>
      </c>
      <c r="AR83" s="134" t="s">
        <v>165</v>
      </c>
      <c r="AS83" s="134" t="s">
        <v>173</v>
      </c>
      <c r="AT83" s="135" t="str">
        <f t="shared" ref="AT83" si="167">IF(AND(AR83="Preventivo",AS83="Automático"),"50%",IF(AND(AR83="Preventivo",AS83="Manual"),"40%",IF(AND(AR83="Detectivo",AS83="Automático"),"40%",IF(AND(AR83="Detectivo",AS83="Manual"),"30%",IF(AND(AR83="Correctivo",AS83="Automático"),"35%",IF(AND(AR83="Correctivo",AS83="Manual"),"25%",""))))))</f>
        <v>40%</v>
      </c>
      <c r="AU83" s="134" t="s">
        <v>176</v>
      </c>
      <c r="AV83" s="134" t="s">
        <v>181</v>
      </c>
      <c r="AW83" s="134" t="s">
        <v>185</v>
      </c>
      <c r="AX83" s="136">
        <f>IFERROR(IF(AQ83="Probabilidad",(M83-(+M83*AT83)),IF(AQ83="Impacto",M83,"")),"")</f>
        <v>0.24</v>
      </c>
      <c r="AY83" s="137" t="str">
        <f t="shared" ref="AY83" si="168">IFERROR(IF(AX83="","",IF(AX83&lt;=0.2,"Muy Baja",IF(AX83&lt;=0.4,"Baja",IF(AX83&lt;=0.6,"Media",IF(AX83&lt;=0.8,"Alta","Muy Alta"))))),"")</f>
        <v>Baja</v>
      </c>
      <c r="AZ83" s="135">
        <f t="shared" ref="AZ83" si="169">+AX83</f>
        <v>0.24</v>
      </c>
      <c r="BA83" s="137" t="str">
        <f t="shared" ref="BA83" ca="1" si="170">IFERROR(IF(BB83="","",IF(BB83&lt;=0.2,"Leve",IF(BB83&lt;=0.4,"Menor",IF(BB83&lt;=0.6,"Moderado",IF(BB83&lt;=0.8,"Mayor","Catastrófico"))))),"")</f>
        <v>Moderado</v>
      </c>
      <c r="BB83" s="135">
        <f ca="1">IFERROR(IF(AQ83="Impacto",(AJ83-(+AJ83*AT83)),IF(AQ83="Probabilidad",AJ83,"")),"")</f>
        <v>0.6</v>
      </c>
      <c r="BC83" s="138" t="str">
        <f t="shared" ref="BC83" ca="1" si="171">IFERROR(IF(OR(AND(AY83="Muy Baja",BA83="Leve"),AND(AY83="Muy Baja",BA83="Menor"),AND(AY83="Baja",BA83="Leve")),"Bajo",IF(OR(AND(AY83="Muy baja",BA83="Moderado"),AND(AY83="Baja",BA83="Menor"),AND(AY83="Baja",BA83="Moderado"),AND(AY83="Media",BA83="Leve"),AND(AY83="Media",BA83="Menor"),AND(AY83="Media",BA83="Moderado"),AND(AY83="Alta",BA83="Leve"),AND(AY83="Alta",BA83="Menor")),"Moderado",IF(OR(AND(AY83="Muy Baja",BA83="Mayor"),AND(AY83="Baja",BA83="Mayor"),AND(AY83="Media",BA83="Mayor"),AND(AY83="Alta",BA83="Moderado"),AND(AY83="Alta",BA83="Mayor"),AND(AY83="Muy Alta",BA83="Leve"),AND(AY83="Muy Alta",BA83="Menor"),AND(AY83="Muy Alta",BA83="Moderado"),AND(AY83="Muy Alta",BA83="Mayor")),"Alto",IF(OR(AND(AY83="Muy Baja",BA83="Catastrófico"),AND(AY83="Baja",BA83="Catastrófico"),AND(AY83="Media",BA83="Catastrófico"),AND(AY83="Alta",BA83="Catastrófico"),AND(AY83="Muy Alta",BA83="Catastrófico")),"Extremo","")))),"")</f>
        <v>Moderado</v>
      </c>
      <c r="BD83" s="134" t="s">
        <v>190</v>
      </c>
      <c r="BE83" s="120"/>
      <c r="BF83" s="127"/>
      <c r="BG83" s="139"/>
      <c r="BH83" s="139"/>
      <c r="BI83" s="120"/>
      <c r="BJ83" s="127"/>
      <c r="BK83" s="18"/>
      <c r="BL83" s="18"/>
      <c r="BM83" s="18"/>
      <c r="BN83" s="18"/>
      <c r="BO83" s="18"/>
      <c r="BP83" s="18"/>
      <c r="BQ83" s="18"/>
      <c r="BR83" s="18"/>
      <c r="BS83" s="18"/>
      <c r="BT83" s="18"/>
      <c r="BU83" s="18"/>
      <c r="BV83" s="18"/>
      <c r="BW83" s="18"/>
      <c r="BX83" s="18"/>
      <c r="BY83" s="18"/>
      <c r="BZ83" s="18"/>
      <c r="CA83" s="18"/>
      <c r="CB83" s="18"/>
      <c r="CC83" s="18"/>
      <c r="CD83" s="18"/>
    </row>
    <row r="84" spans="1:82" ht="105.6" customHeight="1" x14ac:dyDescent="0.3">
      <c r="A84" s="183">
        <v>35</v>
      </c>
      <c r="B84" s="183" t="s">
        <v>412</v>
      </c>
      <c r="C84" s="183" t="s">
        <v>193</v>
      </c>
      <c r="D84" s="183" t="s">
        <v>217</v>
      </c>
      <c r="E84" s="183"/>
      <c r="F84" s="183" t="s">
        <v>608</v>
      </c>
      <c r="G84" s="183" t="s">
        <v>609</v>
      </c>
      <c r="H84" s="183" t="str">
        <f>_xlfn.CONCAT("Posibilidad de afectación ",IF(C84='Opciones Tratamiento'!$E$2,"económica",IF(C84='Opciones Tratamiento'!$E$4,"económica y reputacional",LOWER(C84)))," por ",LOWER(F84), ", debido a ",LOWER(G84))</f>
        <v>Posibilidad de afectación reputacional por incorrecta identificación, afectación, clasificación y medición de hechos económicos en la contabilidad de la entidad., debido a inoportunidad en el suministro de información de las dependencias
desconocimiento de las normas o políticas contables de la entidad
incorrecta parametrización de los sistemas de información que alimentan la contabilidad</v>
      </c>
      <c r="I84" s="183" t="s">
        <v>201</v>
      </c>
      <c r="J84" s="185" t="s">
        <v>231</v>
      </c>
      <c r="K84" s="185" t="s">
        <v>248</v>
      </c>
      <c r="L84" s="187" t="str">
        <f>IF(OR(K84='Opciones Tratamiento'!$K$14,K84='Opciones Tratamiento'!$K$15,K84='Opciones Tratamiento'!$K$16),"Muy Baja",IF(OR(K84='Opciones Tratamiento'!$K$10,K84='Opciones Tratamiento'!$K$11,K84='Opciones Tratamiento'!$K$12,K84='Opciones Tratamiento'!$K$13),"Baja",IF(OR(K84='Opciones Tratamiento'!$K$4,K84='Opciones Tratamiento'!$K$5,K84='Opciones Tratamiento'!$K$6,K84='Opciones Tratamiento'!$K$7,K84='Opciones Tratamiento'!$K$8,K84='Opciones Tratamiento'!$K$9),"Media",IF(K84='Opciones Tratamiento'!$K$3,"Alta",IF(OR(K84='Opciones Tratamiento'!$K$2,K84='Opciones Tratamiento'!$K$17),"Muy Alta")))))</f>
        <v>Baja</v>
      </c>
      <c r="M84" s="188">
        <f>IF(L84="","",IF(L84="Muy Baja",0.2,IF(L84="Baja",0.4,IF(L84="Media",0.6,IF(L84="Alta",0.8,IF(L84="Muy Alta",1,))))))</f>
        <v>0.4</v>
      </c>
      <c r="N84" s="188" t="s">
        <v>149</v>
      </c>
      <c r="O84" s="188" t="str">
        <f ca="1">IF(NOT(ISERROR(MATCH(N84,'Tabla Impacto'!$B$221:$B$223,0))),'Tabla Impacto'!$F$223&amp;"Por favor no seleccionar los criterios de impacto(Afectación Económica o presupuestal y Pérdida Reputacional)",N84)</f>
        <v xml:space="preserve">     El riesgo afecta la imagen de la entidad con algunos usuarios de relevancia frente al logro de los objetivos</v>
      </c>
      <c r="P84" s="130"/>
      <c r="Q84" s="130"/>
      <c r="R84" s="130"/>
      <c r="S84" s="130"/>
      <c r="T84" s="130"/>
      <c r="U84" s="140"/>
      <c r="V84" s="140"/>
      <c r="W84" s="140"/>
      <c r="X84" s="140"/>
      <c r="Y84" s="140"/>
      <c r="Z84" s="140"/>
      <c r="AA84" s="140"/>
      <c r="AB84" s="140"/>
      <c r="AC84" s="140"/>
      <c r="AD84" s="130"/>
      <c r="AE84" s="130"/>
      <c r="AF84" s="130"/>
      <c r="AG84" s="130"/>
      <c r="AH84" s="130"/>
      <c r="AI84" s="187" t="str">
        <f ca="1">IF(OR(D84='Opciones Tratamiento'!$H$2,D84='Opciones Tratamiento'!$H$4),IF(OR(O84='Tabla Impacto'!$C$11,O84='Tabla Impacto'!$D$11),"Leve",IF(OR(O84='Tabla Impacto'!$C$12,O84='Tabla Impacto'!$D$12),"Menor",IF(OR(O84='Tabla Impacto'!$C$13,O84='Tabla Impacto'!$D$13),"Moderado",IF(OR(O84='Tabla Impacto'!$C$14,O84='Tabla Impacto'!$D$14),"Mayor",IF(OR(O84='Tabla Impacto'!$C$15,O84='Tabla Impacto'!$D$15),"Catastrófico",""))))),IF(D84='Opciones Tratamiento'!$H$3,IF(COUNTIF('Mapa final'!P84:AH84,"Si")&lt;=5,"Moderado",IF(AND(COUNTIF('Mapa final'!P84:AH84,"Si")&gt;5,COUNTIF('Mapa final'!P84:AH84,"Si")&lt;=10),"Mayor",IF(COUNTIF('Mapa final'!P84:AH84,"Si")&gt;10,"Catastrófico","")))))</f>
        <v>Moderado</v>
      </c>
      <c r="AJ84" s="188">
        <f ca="1">IF(AI84="","",IF(AI84="Leve",0.2,IF(AI84="Menor",0.4,IF(AI84="Moderado",0.6,IF(AI84="Mayor",0.8,IF(AI84="Catastrófico",1,))))))</f>
        <v>0.6</v>
      </c>
      <c r="AK84" s="190" t="str">
        <f ca="1">IF(OR(AND(L84="Muy Baja",AI84="Leve"),AND(L84="Muy Baja",AI84="Menor"),AND(L84="Baja",AI84="Leve")),"Bajo",IF(OR(AND(L84="Muy baja",AI84="Moderado"),AND(L84="Baja",AI84="Menor"),AND(L84="Baja",AI84="Moderado"),AND(L84="Media",AI84="Leve"),AND(L84="Media",AI84="Menor"),AND(L84="Media",AI84="Moderado"),AND(L84="Alta",AI84="Leve"),AND(L84="Alta",AI84="Menor")),"Moderado",IF(OR(AND(L84="Muy Baja",AI84="Mayor"),AND(L84="Baja",AI84="Mayor"),AND(L84="Media",AI84="Mayor"),AND(L84="Alta",AI84="Moderado"),AND(L84="Alta",AI84="Mayor"),AND(L84="Muy Alta",AI84="Leve"),AND(L84="Muy Alta",AI84="Menor"),AND(L84="Muy Alta",AI84="Moderado"),AND(L84="Muy Alta",AI84="Mayor")),"Alto",IF(OR(AND(L84="Muy Baja",AI84="Catastrófico"),AND(L84="Baja",AI84="Catastrófico"),AND(L84="Media",AI84="Catastrófico"),AND(L84="Alta",AI84="Catastrófico"),AND(L84="Muy Alta",AI84="Catastrófico")),"Extremo",""))))</f>
        <v>Moderado</v>
      </c>
      <c r="AL84" s="127">
        <v>1</v>
      </c>
      <c r="AM84" s="127"/>
      <c r="AN84" s="127" t="e">
        <f>VLOOKUP(AM84,'Opciones Tratamiento'!$M$2:$O$37,3,FALSE)</f>
        <v>#N/A</v>
      </c>
      <c r="AO84" s="132" t="e">
        <f>VLOOKUP(AM84,'Opciones Tratamiento'!$M$2:$O$37,2,FALSE)</f>
        <v>#N/A</v>
      </c>
      <c r="AP84" s="132" t="s">
        <v>610</v>
      </c>
      <c r="AQ84" s="127" t="str">
        <f t="shared" ref="AQ84:AQ85" si="172">IF(OR(AR84="Preventivo",AR84="Detectivo"),"Probabilidad",IF(AR84="Correctivo","Impacto",""))</f>
        <v>Probabilidad</v>
      </c>
      <c r="AR84" s="134" t="s">
        <v>167</v>
      </c>
      <c r="AS84" s="134" t="s">
        <v>173</v>
      </c>
      <c r="AT84" s="135" t="str">
        <f t="shared" ref="AT84:AT85" si="173">IF(AND(AR84="Preventivo",AS84="Automático"),"50%",IF(AND(AR84="Preventivo",AS84="Manual"),"40%",IF(AND(AR84="Detectivo",AS84="Automático"),"40%",IF(AND(AR84="Detectivo",AS84="Manual"),"30%",IF(AND(AR84="Correctivo",AS84="Automático"),"35%",IF(AND(AR84="Correctivo",AS84="Manual"),"25%",""))))))</f>
        <v>30%</v>
      </c>
      <c r="AU84" s="134" t="s">
        <v>176</v>
      </c>
      <c r="AV84" s="134" t="s">
        <v>181</v>
      </c>
      <c r="AW84" s="134" t="s">
        <v>185</v>
      </c>
      <c r="AX84" s="136">
        <f>IFERROR(IF(AQ84="Probabilidad",(M84-(+M84*AT84)),IF(AQ84="Impacto",M84,"")),"")</f>
        <v>0.28000000000000003</v>
      </c>
      <c r="AY84" s="137" t="str">
        <f t="shared" ref="AY84:AY85" si="174">IFERROR(IF(AX84="","",IF(AX84&lt;=0.2,"Muy Baja",IF(AX84&lt;=0.4,"Baja",IF(AX84&lt;=0.6,"Media",IF(AX84&lt;=0.8,"Alta","Muy Alta"))))),"")</f>
        <v>Baja</v>
      </c>
      <c r="AZ84" s="135">
        <f t="shared" ref="AZ84:AZ85" si="175">+AX84</f>
        <v>0.28000000000000003</v>
      </c>
      <c r="BA84" s="137" t="str">
        <f t="shared" ref="BA84:BA85" ca="1" si="176">IFERROR(IF(BB84="","",IF(BB84&lt;=0.2,"Leve",IF(BB84&lt;=0.4,"Menor",IF(BB84&lt;=0.6,"Moderado",IF(BB84&lt;=0.8,"Mayor","Catastrófico"))))),"")</f>
        <v>Moderado</v>
      </c>
      <c r="BB84" s="135">
        <f ca="1">IFERROR(IF(AQ84="Impacto",(AJ84-(+AJ84*AT84)),IF(AQ84="Probabilidad",AJ84,"")),"")</f>
        <v>0.6</v>
      </c>
      <c r="BC84" s="138" t="str">
        <f t="shared" ref="BC84:BC85" ca="1" si="177">IFERROR(IF(OR(AND(AY84="Muy Baja",BA84="Leve"),AND(AY84="Muy Baja",BA84="Menor"),AND(AY84="Baja",BA84="Leve")),"Bajo",IF(OR(AND(AY84="Muy baja",BA84="Moderado"),AND(AY84="Baja",BA84="Menor"),AND(AY84="Baja",BA84="Moderado"),AND(AY84="Media",BA84="Leve"),AND(AY84="Media",BA84="Menor"),AND(AY84="Media",BA84="Moderado"),AND(AY84="Alta",BA84="Leve"),AND(AY84="Alta",BA84="Menor")),"Moderado",IF(OR(AND(AY84="Muy Baja",BA84="Mayor"),AND(AY84="Baja",BA84="Mayor"),AND(AY84="Media",BA84="Mayor"),AND(AY84="Alta",BA84="Moderado"),AND(AY84="Alta",BA84="Mayor"),AND(AY84="Muy Alta",BA84="Leve"),AND(AY84="Muy Alta",BA84="Menor"),AND(AY84="Muy Alta",BA84="Moderado"),AND(AY84="Muy Alta",BA84="Mayor")),"Alto",IF(OR(AND(AY84="Muy Baja",BA84="Catastrófico"),AND(AY84="Baja",BA84="Catastrófico"),AND(AY84="Media",BA84="Catastrófico"),AND(AY84="Alta",BA84="Catastrófico"),AND(AY84="Muy Alta",BA84="Catastrófico")),"Extremo","")))),"")</f>
        <v>Moderado</v>
      </c>
      <c r="BD84" s="134" t="s">
        <v>196</v>
      </c>
      <c r="BE84" s="120"/>
      <c r="BF84" s="127"/>
      <c r="BG84" s="139"/>
      <c r="BH84" s="139"/>
      <c r="BI84" s="120"/>
      <c r="BJ84" s="127"/>
      <c r="BK84" s="18"/>
      <c r="BL84" s="18"/>
      <c r="BM84" s="18"/>
      <c r="BN84" s="18"/>
      <c r="BO84" s="18"/>
      <c r="BP84" s="18"/>
      <c r="BQ84" s="18"/>
      <c r="BR84" s="18"/>
      <c r="BS84" s="18"/>
      <c r="BT84" s="18"/>
      <c r="BU84" s="18"/>
      <c r="BV84" s="18"/>
      <c r="BW84" s="18"/>
      <c r="BX84" s="18"/>
      <c r="BY84" s="18"/>
      <c r="BZ84" s="18"/>
      <c r="CA84" s="18"/>
      <c r="CB84" s="18"/>
      <c r="CC84" s="18"/>
      <c r="CD84" s="18"/>
    </row>
    <row r="85" spans="1:82" ht="105.6" customHeight="1" x14ac:dyDescent="0.3">
      <c r="A85" s="184"/>
      <c r="B85" s="184"/>
      <c r="C85" s="186"/>
      <c r="D85" s="186"/>
      <c r="E85" s="186"/>
      <c r="F85" s="186"/>
      <c r="G85" s="186"/>
      <c r="H85" s="186"/>
      <c r="I85" s="186"/>
      <c r="J85" s="186"/>
      <c r="K85" s="186"/>
      <c r="L85" s="186"/>
      <c r="M85" s="186"/>
      <c r="N85" s="186"/>
      <c r="O85" s="186"/>
      <c r="P85" s="130"/>
      <c r="Q85" s="130"/>
      <c r="R85" s="130"/>
      <c r="S85" s="130"/>
      <c r="T85" s="130"/>
      <c r="U85" s="140"/>
      <c r="V85" s="140"/>
      <c r="W85" s="140"/>
      <c r="X85" s="140"/>
      <c r="Y85" s="140"/>
      <c r="Z85" s="140"/>
      <c r="AA85" s="140"/>
      <c r="AB85" s="140"/>
      <c r="AC85" s="140"/>
      <c r="AD85" s="130"/>
      <c r="AE85" s="130"/>
      <c r="AF85" s="130"/>
      <c r="AG85" s="130"/>
      <c r="AH85" s="130"/>
      <c r="AI85" s="186"/>
      <c r="AJ85" s="186"/>
      <c r="AK85" s="186"/>
      <c r="AL85" s="127">
        <v>2</v>
      </c>
      <c r="AM85" s="127"/>
      <c r="AN85" s="127" t="e">
        <f>VLOOKUP(AM85,'Opciones Tratamiento'!$M$2:$O$37,3,FALSE)</f>
        <v>#N/A</v>
      </c>
      <c r="AO85" s="132" t="e">
        <f>VLOOKUP(AM85,'Opciones Tratamiento'!$M$2:$O$37,2,FALSE)</f>
        <v>#N/A</v>
      </c>
      <c r="AP85" s="146" t="s">
        <v>540</v>
      </c>
      <c r="AQ85" s="127" t="str">
        <f t="shared" si="172"/>
        <v>Probabilidad</v>
      </c>
      <c r="AR85" s="134" t="s">
        <v>165</v>
      </c>
      <c r="AS85" s="134" t="s">
        <v>173</v>
      </c>
      <c r="AT85" s="135" t="str">
        <f t="shared" si="173"/>
        <v>40%</v>
      </c>
      <c r="AU85" s="134" t="s">
        <v>176</v>
      </c>
      <c r="AV85" s="134" t="s">
        <v>181</v>
      </c>
      <c r="AW85" s="134" t="s">
        <v>185</v>
      </c>
      <c r="AX85" s="136">
        <f>IFERROR(IF(AND(AQ84="Probabilidad",AQ85="Probabilidad"),(AZ84-(+AZ84*AT85)),IF(AQ85="Probabilidad",(M84-(+M84*AT85)),IF(AQ85="Impacto",AZ84,""))),"")</f>
        <v>0.16800000000000001</v>
      </c>
      <c r="AY85" s="137" t="str">
        <f t="shared" si="174"/>
        <v>Muy Baja</v>
      </c>
      <c r="AZ85" s="135">
        <f t="shared" si="175"/>
        <v>0.16800000000000001</v>
      </c>
      <c r="BA85" s="137" t="str">
        <f t="shared" ca="1" si="176"/>
        <v>Moderado</v>
      </c>
      <c r="BB85" s="135">
        <f ca="1">IFERROR(IF(AND(AQ84="Impacto",AQ85="Impacto"),(BB83-(+BB83*AT85)),IF(AQ85="Impacto",($AJ$25-(+$AJ$25*AT85)),IF(AQ85="Probabilidad",BB83,""))),"")</f>
        <v>0.6</v>
      </c>
      <c r="BC85" s="138" t="str">
        <f t="shared" ca="1" si="177"/>
        <v>Moderado</v>
      </c>
      <c r="BD85" s="134" t="s">
        <v>190</v>
      </c>
      <c r="BE85" s="120"/>
      <c r="BF85" s="127"/>
      <c r="BG85" s="139"/>
      <c r="BH85" s="139"/>
      <c r="BI85" s="120"/>
      <c r="BJ85" s="127"/>
      <c r="BK85" s="24"/>
      <c r="BL85" s="24"/>
      <c r="BM85" s="24"/>
      <c r="BN85" s="24"/>
      <c r="BO85" s="24"/>
      <c r="BP85" s="24"/>
      <c r="BQ85" s="24"/>
      <c r="BR85" s="24"/>
      <c r="BS85" s="24"/>
      <c r="BT85" s="24"/>
      <c r="BU85" s="24"/>
      <c r="BV85" s="24"/>
      <c r="BW85" s="24"/>
      <c r="BX85" s="24"/>
      <c r="BY85" s="24"/>
      <c r="BZ85" s="24"/>
      <c r="CA85" s="24"/>
      <c r="CB85" s="24"/>
      <c r="CC85" s="24"/>
      <c r="CD85" s="24"/>
    </row>
    <row r="86" spans="1:82" ht="127.5" customHeight="1" x14ac:dyDescent="0.3">
      <c r="A86" s="183">
        <v>36</v>
      </c>
      <c r="B86" s="183" t="s">
        <v>400</v>
      </c>
      <c r="C86" s="183" t="s">
        <v>195</v>
      </c>
      <c r="D86" s="183" t="s">
        <v>217</v>
      </c>
      <c r="E86" s="183"/>
      <c r="F86" s="189" t="s">
        <v>541</v>
      </c>
      <c r="G86" s="189" t="s">
        <v>611</v>
      </c>
      <c r="H86" s="183" t="str">
        <f>_xlfn.CONCAT("Posibilidad de afectación ",IF(C86='Opciones Tratamiento'!$E$2,"económica",IF(C86='Opciones Tratamiento'!$E$4,"económica y reputacional",LOWER(C86)))," por ",LOWER(F86), ", debido a ",LOWER(G86))</f>
        <v>Posibilidad de afectación económica y reputacional por contratación de bienes y servicios no relacionados con las funciones de la entidad y que no generan utilidad , debido a . desactualización normativa por parte de los funcionarios de la dependencia
errores jurídicos en el trámite de los procesos de selección,
 incumplimiento de los términos para la publicación de los documentos del proceso contractual, adelantar procesos contractuales sin que se cuente con el respaldo presupuestal requerido (constitución de hechos cumplidos), retraso en el desarrollo de las etapas contractuales, escaso personal para el desarrollo de las actividades del proceso, inadecuada planeación por parte de las áreas al momento de proyectar los estudios previos y presentar soportes, inconsistencias en los estudios previos y análisis del sector de los procesos contractuales que se radica</v>
      </c>
      <c r="I86" s="189" t="s">
        <v>420</v>
      </c>
      <c r="J86" s="185" t="s">
        <v>230</v>
      </c>
      <c r="K86" s="185" t="s">
        <v>241</v>
      </c>
      <c r="L86" s="187" t="str">
        <f>IF(OR(K86='Opciones Tratamiento'!$K$14,K86='Opciones Tratamiento'!$K$15,K86='Opciones Tratamiento'!$K$16),"Muy Baja",IF(OR(K86='Opciones Tratamiento'!$K$10,K86='Opciones Tratamiento'!$K$11,K86='Opciones Tratamiento'!$K$12,K86='Opciones Tratamiento'!$K$13),"Baja",IF(OR(K86='Opciones Tratamiento'!$K$4,K86='Opciones Tratamiento'!$K$5,K86='Opciones Tratamiento'!$K$6,K86='Opciones Tratamiento'!$K$7,K86='Opciones Tratamiento'!$K$8,K86='Opciones Tratamiento'!$K$9),"Media",IF(K86='Opciones Tratamiento'!$K$3,"Alta",IF(OR(K86='Opciones Tratamiento'!$K$2,K86='Opciones Tratamiento'!$K$17),"Muy Alta")))))</f>
        <v>Media</v>
      </c>
      <c r="M86" s="188">
        <f>IF(L86="","",IF(L86="Muy Baja",0.2,IF(L86="Baja",0.4,IF(L86="Media",0.6,IF(L86="Alta",0.8,IF(L86="Muy Alta",1,))))))</f>
        <v>0.6</v>
      </c>
      <c r="N86" s="188" t="s">
        <v>146</v>
      </c>
      <c r="O86" s="188" t="str">
        <f ca="1">IF(NOT(ISERROR(MATCH(N86,'Tabla Impacto'!$B$221:$B$223,0))),'Tabla Impacto'!$F$223&amp;"Por favor no seleccionar los criterios de impacto(Afectación Económica o presupuestal y Pérdida Reputacional)",N86)</f>
        <v xml:space="preserve">     Entre 10 y 50 SMLMV </v>
      </c>
      <c r="P86" s="130"/>
      <c r="Q86" s="130"/>
      <c r="R86" s="130"/>
      <c r="S86" s="130"/>
      <c r="T86" s="130"/>
      <c r="U86" s="140"/>
      <c r="V86" s="140"/>
      <c r="W86" s="140"/>
      <c r="X86" s="140"/>
      <c r="Y86" s="140"/>
      <c r="Z86" s="140"/>
      <c r="AA86" s="140"/>
      <c r="AB86" s="140"/>
      <c r="AC86" s="140"/>
      <c r="AD86" s="130"/>
      <c r="AE86" s="130"/>
      <c r="AF86" s="130"/>
      <c r="AG86" s="130"/>
      <c r="AH86" s="130"/>
      <c r="AI86" s="187" t="str">
        <f ca="1">IF(OR(D86='Opciones Tratamiento'!$H$2,D86='Opciones Tratamiento'!$H$4),IF(OR(O86='Tabla Impacto'!$C$11,O86='Tabla Impacto'!$D$11),"Leve",IF(OR(O86='Tabla Impacto'!$C$12,O86='Tabla Impacto'!$D$12),"Menor",IF(OR(O86='Tabla Impacto'!$C$13,O86='Tabla Impacto'!$D$13),"Moderado",IF(OR(O86='Tabla Impacto'!$C$14,O86='Tabla Impacto'!$D$14),"Mayor",IF(OR(O86='Tabla Impacto'!$C$15,O86='Tabla Impacto'!$D$15),"Catastrófico",""))))),IF(D86='Opciones Tratamiento'!$H$3,IF(COUNTIF('Mapa final'!P86:AH86,"Si")&lt;=5,"Moderado",IF(AND(COUNTIF('Mapa final'!P86:AH86,"Si")&gt;5,COUNTIF('Mapa final'!P86:AH86,"Si")&lt;=10),"Mayor",IF(COUNTIF('Mapa final'!P86:AH86,"Si")&gt;10,"Catastrófico","")))))</f>
        <v>Menor</v>
      </c>
      <c r="AJ86" s="188">
        <f ca="1">IF(AI86="","",IF(AI86="Leve",0.2,IF(AI86="Menor",0.4,IF(AI86="Moderado",0.6,IF(AI86="Mayor",0.8,IF(AI86="Catastrófico",1,))))))</f>
        <v>0.4</v>
      </c>
      <c r="AK86" s="190" t="str">
        <f ca="1">IF(OR(AND(L86="Muy Baja",AI86="Leve"),AND(L86="Muy Baja",AI86="Menor"),AND(L86="Baja",AI86="Leve")),"Bajo",IF(OR(AND(L86="Muy baja",AI86="Moderado"),AND(L86="Baja",AI86="Menor"),AND(L86="Baja",AI86="Moderado"),AND(L86="Media",AI86="Leve"),AND(L86="Media",AI86="Menor"),AND(L86="Media",AI86="Moderado"),AND(L86="Alta",AI86="Leve"),AND(L86="Alta",AI86="Menor")),"Moderado",IF(OR(AND(L86="Muy Baja",AI86="Mayor"),AND(L86="Baja",AI86="Mayor"),AND(L86="Media",AI86="Mayor"),AND(L86="Alta",AI86="Moderado"),AND(L86="Alta",AI86="Mayor"),AND(L86="Muy Alta",AI86="Leve"),AND(L86="Muy Alta",AI86="Menor"),AND(L86="Muy Alta",AI86="Moderado"),AND(L86="Muy Alta",AI86="Mayor")),"Alto",IF(OR(AND(L86="Muy Baja",AI86="Catastrófico"),AND(L86="Baja",AI86="Catastrófico"),AND(L86="Media",AI86="Catastrófico"),AND(L86="Alta",AI86="Catastrófico"),AND(L86="Muy Alta",AI86="Catastrófico")),"Extremo",""))))</f>
        <v>Moderado</v>
      </c>
      <c r="AL86" s="127">
        <v>1</v>
      </c>
      <c r="AM86" s="127"/>
      <c r="AN86" s="127" t="e">
        <f>VLOOKUP(AM86,'Opciones Tratamiento'!$M$2:$O$37,3,FALSE)</f>
        <v>#N/A</v>
      </c>
      <c r="AO86" s="132" t="e">
        <f>VLOOKUP(AM86,'Opciones Tratamiento'!$M$2:$O$37,2,FALSE)</f>
        <v>#N/A</v>
      </c>
      <c r="AP86" s="133" t="s">
        <v>542</v>
      </c>
      <c r="AQ86" s="127" t="str">
        <f t="shared" ref="AQ86:AQ88" si="178">IF(OR(AR86="Preventivo",AR86="Detectivo"),"Probabilidad",IF(AR86="Correctivo","Impacto",""))</f>
        <v>Probabilidad</v>
      </c>
      <c r="AR86" s="134" t="s">
        <v>165</v>
      </c>
      <c r="AS86" s="134" t="s">
        <v>173</v>
      </c>
      <c r="AT86" s="135" t="str">
        <f t="shared" ref="AT86:AT88" si="179">IF(AND(AR86="Preventivo",AS86="Automático"),"50%",IF(AND(AR86="Preventivo",AS86="Manual"),"40%",IF(AND(AR86="Detectivo",AS86="Automático"),"40%",IF(AND(AR86="Detectivo",AS86="Manual"),"30%",IF(AND(AR86="Correctivo",AS86="Automático"),"35%",IF(AND(AR86="Correctivo",AS86="Manual"),"25%",""))))))</f>
        <v>40%</v>
      </c>
      <c r="AU86" s="134" t="s">
        <v>176</v>
      </c>
      <c r="AV86" s="134" t="s">
        <v>181</v>
      </c>
      <c r="AW86" s="134" t="s">
        <v>185</v>
      </c>
      <c r="AX86" s="136">
        <f>IFERROR(IF(AQ86="Probabilidad",(M86-(+M86*AT86)),IF(AQ86="Impacto",M86,"")),"")</f>
        <v>0.36</v>
      </c>
      <c r="AY86" s="137" t="str">
        <f t="shared" ref="AY86:AY88" si="180">IFERROR(IF(AX86="","",IF(AX86&lt;=0.2,"Muy Baja",IF(AX86&lt;=0.4,"Baja",IF(AX86&lt;=0.6,"Media",IF(AX86&lt;=0.8,"Alta","Muy Alta"))))),"")</f>
        <v>Baja</v>
      </c>
      <c r="AZ86" s="135">
        <f t="shared" ref="AZ86:AZ88" si="181">+AX86</f>
        <v>0.36</v>
      </c>
      <c r="BA86" s="137" t="str">
        <f t="shared" ref="BA86:BA88" ca="1" si="182">IFERROR(IF(BB86="","",IF(BB86&lt;=0.2,"Leve",IF(BB86&lt;=0.4,"Menor",IF(BB86&lt;=0.6,"Moderado",IF(BB86&lt;=0.8,"Mayor","Catastrófico"))))),"")</f>
        <v>Menor</v>
      </c>
      <c r="BB86" s="135">
        <f ca="1">IFERROR(IF(AQ86="Impacto",(AJ86-(+AJ86*AT86)),IF(AQ86="Probabilidad",AJ86,"")),"")</f>
        <v>0.4</v>
      </c>
      <c r="BC86" s="138" t="str">
        <f t="shared" ref="BC86:BC88" ca="1" si="183">IFERROR(IF(OR(AND(AY86="Muy Baja",BA86="Leve"),AND(AY86="Muy Baja",BA86="Menor"),AND(AY86="Baja",BA86="Leve")),"Bajo",IF(OR(AND(AY86="Muy baja",BA86="Moderado"),AND(AY86="Baja",BA86="Menor"),AND(AY86="Baja",BA86="Moderado"),AND(AY86="Media",BA86="Leve"),AND(AY86="Media",BA86="Menor"),AND(AY86="Media",BA86="Moderado"),AND(AY86="Alta",BA86="Leve"),AND(AY86="Alta",BA86="Menor")),"Moderado",IF(OR(AND(AY86="Muy Baja",BA86="Mayor"),AND(AY86="Baja",BA86="Mayor"),AND(AY86="Media",BA86="Mayor"),AND(AY86="Alta",BA86="Moderado"),AND(AY86="Alta",BA86="Mayor"),AND(AY86="Muy Alta",BA86="Leve"),AND(AY86="Muy Alta",BA86="Menor"),AND(AY86="Muy Alta",BA86="Moderado"),AND(AY86="Muy Alta",BA86="Mayor")),"Alto",IF(OR(AND(AY86="Muy Baja",BA86="Catastrófico"),AND(AY86="Baja",BA86="Catastrófico"),AND(AY86="Media",BA86="Catastrófico"),AND(AY86="Alta",BA86="Catastrófico"),AND(AY86="Muy Alta",BA86="Catastrófico")),"Extremo","")))),"")</f>
        <v>Moderado</v>
      </c>
      <c r="BD86" s="134" t="s">
        <v>196</v>
      </c>
      <c r="BE86" s="120"/>
      <c r="BF86" s="127"/>
      <c r="BG86" s="139"/>
      <c r="BH86" s="139"/>
      <c r="BI86" s="120"/>
      <c r="BJ86" s="127"/>
      <c r="BK86" s="18"/>
      <c r="BL86" s="18"/>
      <c r="BM86" s="18"/>
      <c r="BN86" s="18"/>
      <c r="BO86" s="18"/>
      <c r="BP86" s="18"/>
      <c r="BQ86" s="18"/>
      <c r="BR86" s="18"/>
      <c r="BS86" s="18"/>
      <c r="BT86" s="18"/>
      <c r="BU86" s="18"/>
      <c r="BV86" s="18"/>
      <c r="BW86" s="18"/>
      <c r="BX86" s="18"/>
      <c r="BY86" s="18"/>
      <c r="BZ86" s="18"/>
      <c r="CA86" s="18"/>
      <c r="CB86" s="18"/>
      <c r="CC86" s="18"/>
      <c r="CD86" s="18"/>
    </row>
    <row r="87" spans="1:82" ht="127.5" customHeight="1" x14ac:dyDescent="0.3">
      <c r="A87" s="184"/>
      <c r="B87" s="184"/>
      <c r="C87" s="186"/>
      <c r="D87" s="186"/>
      <c r="E87" s="186"/>
      <c r="F87" s="189"/>
      <c r="G87" s="189"/>
      <c r="H87" s="186"/>
      <c r="I87" s="189"/>
      <c r="J87" s="186"/>
      <c r="K87" s="186"/>
      <c r="L87" s="186"/>
      <c r="M87" s="186"/>
      <c r="N87" s="186"/>
      <c r="O87" s="186"/>
      <c r="P87" s="130"/>
      <c r="Q87" s="130"/>
      <c r="R87" s="130"/>
      <c r="S87" s="130"/>
      <c r="T87" s="130"/>
      <c r="U87" s="140"/>
      <c r="V87" s="140"/>
      <c r="W87" s="140"/>
      <c r="X87" s="140"/>
      <c r="Y87" s="140"/>
      <c r="Z87" s="140"/>
      <c r="AA87" s="140"/>
      <c r="AB87" s="140"/>
      <c r="AC87" s="140"/>
      <c r="AD87" s="130"/>
      <c r="AE87" s="130"/>
      <c r="AF87" s="130"/>
      <c r="AG87" s="130"/>
      <c r="AH87" s="130"/>
      <c r="AI87" s="186"/>
      <c r="AJ87" s="186"/>
      <c r="AK87" s="186"/>
      <c r="AL87" s="127">
        <v>2</v>
      </c>
      <c r="AM87" s="127"/>
      <c r="AN87" s="127" t="e">
        <f>VLOOKUP(AM87,'Opciones Tratamiento'!$M$2:$O$37,3,FALSE)</f>
        <v>#N/A</v>
      </c>
      <c r="AO87" s="132" t="e">
        <f>VLOOKUP(AM87,'Opciones Tratamiento'!$M$2:$O$37,2,FALSE)</f>
        <v>#N/A</v>
      </c>
      <c r="AP87" s="133" t="s">
        <v>612</v>
      </c>
      <c r="AQ87" s="127" t="str">
        <f t="shared" si="178"/>
        <v>Probabilidad</v>
      </c>
      <c r="AR87" s="134" t="s">
        <v>165</v>
      </c>
      <c r="AS87" s="134" t="s">
        <v>173</v>
      </c>
      <c r="AT87" s="135" t="str">
        <f t="shared" si="179"/>
        <v>40%</v>
      </c>
      <c r="AU87" s="134" t="s">
        <v>176</v>
      </c>
      <c r="AV87" s="134" t="s">
        <v>181</v>
      </c>
      <c r="AW87" s="134" t="s">
        <v>185</v>
      </c>
      <c r="AX87" s="136">
        <f>IFERROR(IF(AND(AQ86="Probabilidad",AQ87="Probabilidad"),(AZ86-(+AZ86*AT87)),IF(AQ87="Probabilidad",(M86-(+M86*AT87)),IF(AQ87="Impacto",AZ86,""))),"")</f>
        <v>0.216</v>
      </c>
      <c r="AY87" s="137" t="str">
        <f t="shared" si="180"/>
        <v>Baja</v>
      </c>
      <c r="AZ87" s="135">
        <f t="shared" si="181"/>
        <v>0.216</v>
      </c>
      <c r="BA87" s="137" t="str">
        <f t="shared" si="182"/>
        <v>Menor</v>
      </c>
      <c r="BB87" s="135">
        <v>0.4</v>
      </c>
      <c r="BC87" s="138" t="str">
        <f t="shared" si="183"/>
        <v>Moderado</v>
      </c>
      <c r="BD87" s="134" t="s">
        <v>196</v>
      </c>
      <c r="BE87" s="120"/>
      <c r="BF87" s="127"/>
      <c r="BG87" s="139"/>
      <c r="BH87" s="139"/>
      <c r="BI87" s="120"/>
      <c r="BJ87" s="127"/>
      <c r="BK87" s="24"/>
      <c r="BL87" s="24"/>
      <c r="BM87" s="24"/>
      <c r="BN87" s="24"/>
      <c r="BO87" s="24"/>
      <c r="BP87" s="24"/>
      <c r="BQ87" s="24"/>
      <c r="BR87" s="24"/>
      <c r="BS87" s="24"/>
      <c r="BT87" s="24"/>
      <c r="BU87" s="24"/>
      <c r="BV87" s="24"/>
      <c r="BW87" s="24"/>
      <c r="BX87" s="24"/>
      <c r="BY87" s="24"/>
      <c r="BZ87" s="24"/>
      <c r="CA87" s="24"/>
      <c r="CB87" s="24"/>
      <c r="CC87" s="24"/>
      <c r="CD87" s="24"/>
    </row>
    <row r="88" spans="1:82" ht="127.5" customHeight="1" x14ac:dyDescent="0.3">
      <c r="A88" s="184"/>
      <c r="B88" s="184"/>
      <c r="C88" s="186"/>
      <c r="D88" s="186"/>
      <c r="E88" s="186"/>
      <c r="F88" s="189"/>
      <c r="G88" s="189"/>
      <c r="H88" s="186"/>
      <c r="I88" s="189"/>
      <c r="J88" s="186"/>
      <c r="K88" s="186"/>
      <c r="L88" s="186"/>
      <c r="M88" s="186"/>
      <c r="N88" s="186"/>
      <c r="O88" s="186"/>
      <c r="P88" s="130"/>
      <c r="Q88" s="130"/>
      <c r="R88" s="130"/>
      <c r="S88" s="130"/>
      <c r="T88" s="130"/>
      <c r="U88" s="140"/>
      <c r="V88" s="140"/>
      <c r="W88" s="140"/>
      <c r="X88" s="140"/>
      <c r="Y88" s="140"/>
      <c r="Z88" s="140"/>
      <c r="AA88" s="140"/>
      <c r="AB88" s="140"/>
      <c r="AC88" s="140"/>
      <c r="AD88" s="130"/>
      <c r="AE88" s="130"/>
      <c r="AF88" s="130"/>
      <c r="AG88" s="130"/>
      <c r="AH88" s="130"/>
      <c r="AI88" s="186"/>
      <c r="AJ88" s="186"/>
      <c r="AK88" s="186"/>
      <c r="AL88" s="127">
        <v>3</v>
      </c>
      <c r="AM88" s="127"/>
      <c r="AN88" s="127" t="e">
        <f>VLOOKUP(AM88,'Opciones Tratamiento'!$M$2:$O$37,3,FALSE)</f>
        <v>#N/A</v>
      </c>
      <c r="AO88" s="132" t="e">
        <f>VLOOKUP(AM88,'Opciones Tratamiento'!$M$2:$O$37,2,FALSE)</f>
        <v>#N/A</v>
      </c>
      <c r="AP88" s="133" t="s">
        <v>613</v>
      </c>
      <c r="AQ88" s="127" t="str">
        <f t="shared" si="178"/>
        <v>Impacto</v>
      </c>
      <c r="AR88" s="134" t="s">
        <v>169</v>
      </c>
      <c r="AS88" s="134" t="s">
        <v>173</v>
      </c>
      <c r="AT88" s="135" t="str">
        <f t="shared" si="179"/>
        <v>25%</v>
      </c>
      <c r="AU88" s="134" t="s">
        <v>176</v>
      </c>
      <c r="AV88" s="134" t="s">
        <v>181</v>
      </c>
      <c r="AW88" s="134" t="s">
        <v>185</v>
      </c>
      <c r="AX88" s="136">
        <f t="shared" ref="AX88" si="184">IFERROR(IF(AND(AQ87="Probabilidad",AQ88="Probabilidad"),(AZ87-(+AZ87*AT88)),IF(AND(AQ87="Impacto",AQ88="Probabilidad"),(AZ86-(+AZ86*AT88)),IF(AQ88="Impacto",AZ87,""))),"")</f>
        <v>0.216</v>
      </c>
      <c r="AY88" s="137" t="str">
        <f t="shared" si="180"/>
        <v>Baja</v>
      </c>
      <c r="AZ88" s="135">
        <f t="shared" si="181"/>
        <v>0.216</v>
      </c>
      <c r="BA88" s="137" t="str">
        <f t="shared" ca="1" si="182"/>
        <v>Menor</v>
      </c>
      <c r="BB88" s="135">
        <f t="shared" ref="BB88" ca="1" si="185">IFERROR(IF(AND(AQ87="Impacto",AQ88="Impacto"),(BB87-(+BB87*AT88)),IF(AND(AQ87="Probabilidad",AQ88="Impacto"),(BB86-(+BB86*AT88)),IF(AQ88="Probabilidad",BB87,""))),"")</f>
        <v>0.30000000000000004</v>
      </c>
      <c r="BC88" s="138" t="str">
        <f t="shared" ca="1" si="183"/>
        <v>Moderado</v>
      </c>
      <c r="BD88" s="134" t="s">
        <v>190</v>
      </c>
      <c r="BE88" s="120"/>
      <c r="BF88" s="127"/>
      <c r="BG88" s="139"/>
      <c r="BH88" s="139"/>
      <c r="BI88" s="120"/>
      <c r="BJ88" s="127"/>
      <c r="BK88" s="24"/>
      <c r="BL88" s="24"/>
      <c r="BM88" s="24"/>
      <c r="BN88" s="24"/>
      <c r="BO88" s="24"/>
      <c r="BP88" s="24"/>
      <c r="BQ88" s="24"/>
      <c r="BR88" s="24"/>
      <c r="BS88" s="24"/>
      <c r="BT88" s="24"/>
      <c r="BU88" s="24"/>
      <c r="BV88" s="24"/>
      <c r="BW88" s="24"/>
      <c r="BX88" s="24"/>
      <c r="BY88" s="24"/>
      <c r="BZ88" s="24"/>
      <c r="CA88" s="24"/>
      <c r="CB88" s="24"/>
      <c r="CC88" s="24"/>
      <c r="CD88" s="24"/>
    </row>
    <row r="89" spans="1:82" ht="83.45" customHeight="1" x14ac:dyDescent="0.3">
      <c r="A89" s="183">
        <v>37</v>
      </c>
      <c r="B89" s="183" t="s">
        <v>543</v>
      </c>
      <c r="C89" s="183" t="s">
        <v>191</v>
      </c>
      <c r="D89" s="183" t="s">
        <v>217</v>
      </c>
      <c r="E89" s="183"/>
      <c r="F89" s="183" t="s">
        <v>544</v>
      </c>
      <c r="G89" s="183" t="s">
        <v>545</v>
      </c>
      <c r="H89" s="183" t="str">
        <f>_xlfn.CONCAT("Posibilidad de afectación ",IF(C89='Opciones Tratamiento'!$E$2,"económica",IF(C89='Opciones Tratamiento'!$E$4,"económica y reputacional",LOWER(C89)))," por ",LOWER(F89), ", debido a ",LOWER(G89))</f>
        <v>Posibilidad de afectación económica por ineficiencia en la administración de los bienes y servicios requeridos por los procesos, debido a planeación inoportuna para la adquisición de bienes y servicios en cada vigencia
inexistencia de bienes y servicios necesarios para el normal funcionamiento de la entidad, demora en el desarrollo de la etapa precontractual y contractual de los bienes y servicio</v>
      </c>
      <c r="I89" s="183" t="s">
        <v>420</v>
      </c>
      <c r="J89" s="185" t="s">
        <v>230</v>
      </c>
      <c r="K89" s="185" t="s">
        <v>257</v>
      </c>
      <c r="L89" s="187" t="str">
        <f>IF(OR(K89='Opciones Tratamiento'!$K$14,K89='Opciones Tratamiento'!$K$15,K89='Opciones Tratamiento'!$K$16),"Muy Baja",IF(OR(K89='Opciones Tratamiento'!$K$10,K89='Opciones Tratamiento'!$K$11,K89='Opciones Tratamiento'!$K$12,K89='Opciones Tratamiento'!$K$13),"Baja",IF(OR(K89='Opciones Tratamiento'!$K$4,K89='Opciones Tratamiento'!$K$5,K89='Opciones Tratamiento'!$K$6,K89='Opciones Tratamiento'!$K$7,K89='Opciones Tratamiento'!$K$8,K89='Opciones Tratamiento'!$K$9),"Media",IF(K89='Opciones Tratamiento'!$K$3,"Alta",IF(OR(K89='Opciones Tratamiento'!$K$2,K89='Opciones Tratamiento'!$K$17),"Muy Alta")))))</f>
        <v>Muy Alta</v>
      </c>
      <c r="M89" s="188">
        <f>IF(L89="","",IF(L89="Muy Baja",0.2,IF(L89="Baja",0.4,IF(L89="Media",0.6,IF(L89="Alta",0.8,IF(L89="Muy Alta",1,))))))</f>
        <v>1</v>
      </c>
      <c r="N89" s="188" t="s">
        <v>146</v>
      </c>
      <c r="O89" s="188" t="str">
        <f ca="1">IF(NOT(ISERROR(MATCH(N89,'Tabla Impacto'!$B$221:$B$223,0))),'Tabla Impacto'!$F$223&amp;"Por favor no seleccionar los criterios de impacto(Afectación Económica o presupuestal y Pérdida Reputacional)",N89)</f>
        <v xml:space="preserve">     Entre 10 y 50 SMLMV </v>
      </c>
      <c r="P89" s="130"/>
      <c r="Q89" s="130"/>
      <c r="R89" s="130"/>
      <c r="S89" s="130"/>
      <c r="T89" s="130"/>
      <c r="U89" s="140"/>
      <c r="V89" s="140"/>
      <c r="W89" s="140"/>
      <c r="X89" s="140"/>
      <c r="Y89" s="140"/>
      <c r="Z89" s="140"/>
      <c r="AA89" s="140"/>
      <c r="AB89" s="140"/>
      <c r="AC89" s="140"/>
      <c r="AD89" s="130"/>
      <c r="AE89" s="130"/>
      <c r="AF89" s="130"/>
      <c r="AG89" s="130"/>
      <c r="AH89" s="130"/>
      <c r="AI89" s="187" t="str">
        <f ca="1">IF(OR(D89='Opciones Tratamiento'!$H$2,D89='Opciones Tratamiento'!$H$4),IF(OR(O89='Tabla Impacto'!$C$11,O89='Tabla Impacto'!$D$11),"Leve",IF(OR(O89='Tabla Impacto'!$C$12,O89='Tabla Impacto'!$D$12),"Menor",IF(OR(O89='Tabla Impacto'!$C$13,O89='Tabla Impacto'!$D$13),"Moderado",IF(OR(O89='Tabla Impacto'!$C$14,O89='Tabla Impacto'!$D$14),"Mayor",IF(OR(O89='Tabla Impacto'!$C$15,O89='Tabla Impacto'!$D$15),"Catastrófico",""))))),IF(D89='Opciones Tratamiento'!$H$3,IF(COUNTIF('Mapa final'!P89:AH89,"Si")&lt;=5,"Moderado",IF(AND(COUNTIF('Mapa final'!P89:AH89,"Si")&gt;5,COUNTIF('Mapa final'!P89:AH89,"Si")&lt;=10),"Mayor",IF(COUNTIF('Mapa final'!P89:AH89,"Si")&gt;10,"Catastrófico","")))))</f>
        <v>Menor</v>
      </c>
      <c r="AJ89" s="188">
        <f ca="1">IF(AI89="","",IF(AI89="Leve",0.2,IF(AI89="Menor",0.4,IF(AI89="Moderado",0.6,IF(AI89="Mayor",0.8,IF(AI89="Catastrófico",1,))))))</f>
        <v>0.4</v>
      </c>
      <c r="AK89" s="190" t="str">
        <f ca="1">IF(OR(AND(L89="Muy Baja",AI89="Leve"),AND(L89="Muy Baja",AI89="Menor"),AND(L89="Baja",AI89="Leve")),"Bajo",IF(OR(AND(L89="Muy baja",AI89="Moderado"),AND(L89="Baja",AI89="Menor"),AND(L89="Baja",AI89="Moderado"),AND(L89="Media",AI89="Leve"),AND(L89="Media",AI89="Menor"),AND(L89="Media",AI89="Moderado"),AND(L89="Alta",AI89="Leve"),AND(L89="Alta",AI89="Menor")),"Moderado",IF(OR(AND(L89="Muy Baja",AI89="Mayor"),AND(L89="Baja",AI89="Mayor"),AND(L89="Media",AI89="Mayor"),AND(L89="Alta",AI89="Moderado"),AND(L89="Alta",AI89="Mayor"),AND(L89="Muy Alta",AI89="Leve"),AND(L89="Muy Alta",AI89="Menor"),AND(L89="Muy Alta",AI89="Moderado"),AND(L89="Muy Alta",AI89="Mayor")),"Alto",IF(OR(AND(L89="Muy Baja",AI89="Catastrófico"),AND(L89="Baja",AI89="Catastrófico"),AND(L89="Media",AI89="Catastrófico"),AND(L89="Alta",AI89="Catastrófico"),AND(L89="Muy Alta",AI89="Catastrófico")),"Extremo",""))))</f>
        <v>Alto</v>
      </c>
      <c r="AL89" s="127">
        <v>1</v>
      </c>
      <c r="AM89" s="127"/>
      <c r="AN89" s="127" t="e">
        <f>VLOOKUP(AM89,'Opciones Tratamiento'!$M$2:$O$37,3,FALSE)</f>
        <v>#N/A</v>
      </c>
      <c r="AO89" s="132" t="e">
        <f>VLOOKUP(AM89,'Opciones Tratamiento'!$M$2:$O$37,2,FALSE)</f>
        <v>#N/A</v>
      </c>
      <c r="AP89" s="133" t="s">
        <v>546</v>
      </c>
      <c r="AQ89" s="127" t="str">
        <f t="shared" ref="AQ89:AQ91" si="186">IF(OR(AR89="Preventivo",AR89="Detectivo"),"Probabilidad",IF(AR89="Correctivo","Impacto",""))</f>
        <v>Probabilidad</v>
      </c>
      <c r="AR89" s="134" t="s">
        <v>167</v>
      </c>
      <c r="AS89" s="134" t="s">
        <v>173</v>
      </c>
      <c r="AT89" s="135" t="str">
        <f t="shared" ref="AT89:AT91" si="187">IF(AND(AR89="Preventivo",AS89="Automático"),"50%",IF(AND(AR89="Preventivo",AS89="Manual"),"40%",IF(AND(AR89="Detectivo",AS89="Automático"),"40%",IF(AND(AR89="Detectivo",AS89="Manual"),"30%",IF(AND(AR89="Correctivo",AS89="Automático"),"35%",IF(AND(AR89="Correctivo",AS89="Manual"),"25%",""))))))</f>
        <v>30%</v>
      </c>
      <c r="AU89" s="134"/>
      <c r="AV89" s="134"/>
      <c r="AW89" s="134"/>
      <c r="AX89" s="136">
        <f>IFERROR(IF(AQ89="Probabilidad",(M89-(+M89*AT89)),IF(AQ89="Impacto",M89,"")),"")</f>
        <v>0.7</v>
      </c>
      <c r="AY89" s="137" t="str">
        <f t="shared" ref="AY89:AY91" si="188">IFERROR(IF(AX89="","",IF(AX89&lt;=0.2,"Muy Baja",IF(AX89&lt;=0.4,"Baja",IF(AX89&lt;=0.6,"Media",IF(AX89&lt;=0.8,"Alta","Muy Alta"))))),"")</f>
        <v>Alta</v>
      </c>
      <c r="AZ89" s="135">
        <f t="shared" ref="AZ89:AZ91" si="189">+AX89</f>
        <v>0.7</v>
      </c>
      <c r="BA89" s="137" t="str">
        <f t="shared" ref="BA89:BA91" ca="1" si="190">IFERROR(IF(BB89="","",IF(BB89&lt;=0.2,"Leve",IF(BB89&lt;=0.4,"Menor",IF(BB89&lt;=0.6,"Moderado",IF(BB89&lt;=0.8,"Mayor","Catastrófico"))))),"")</f>
        <v>Menor</v>
      </c>
      <c r="BB89" s="135">
        <f ca="1">IFERROR(IF(AQ89="Impacto",(AJ89-(+AJ89*AT89)),IF(AQ89="Probabilidad",AJ89,"")),"")</f>
        <v>0.4</v>
      </c>
      <c r="BC89" s="138" t="str">
        <f t="shared" ref="BC89:BC91" ca="1" si="191">IFERROR(IF(OR(AND(AY89="Muy Baja",BA89="Leve"),AND(AY89="Muy Baja",BA89="Menor"),AND(AY89="Baja",BA89="Leve")),"Bajo",IF(OR(AND(AY89="Muy baja",BA89="Moderado"),AND(AY89="Baja",BA89="Menor"),AND(AY89="Baja",BA89="Moderado"),AND(AY89="Media",BA89="Leve"),AND(AY89="Media",BA89="Menor"),AND(AY89="Media",BA89="Moderado"),AND(AY89="Alta",BA89="Leve"),AND(AY89="Alta",BA89="Menor")),"Moderado",IF(OR(AND(AY89="Muy Baja",BA89="Mayor"),AND(AY89="Baja",BA89="Mayor"),AND(AY89="Media",BA89="Mayor"),AND(AY89="Alta",BA89="Moderado"),AND(AY89="Alta",BA89="Mayor"),AND(AY89="Muy Alta",BA89="Leve"),AND(AY89="Muy Alta",BA89="Menor"),AND(AY89="Muy Alta",BA89="Moderado"),AND(AY89="Muy Alta",BA89="Mayor")),"Alto",IF(OR(AND(AY89="Muy Baja",BA89="Catastrófico"),AND(AY89="Baja",BA89="Catastrófico"),AND(AY89="Media",BA89="Catastrófico"),AND(AY89="Alta",BA89="Catastrófico"),AND(AY89="Muy Alta",BA89="Catastrófico")),"Extremo","")))),"")</f>
        <v>Moderado</v>
      </c>
      <c r="BD89" s="134" t="s">
        <v>196</v>
      </c>
      <c r="BE89" s="120"/>
      <c r="BF89" s="127"/>
      <c r="BG89" s="139"/>
      <c r="BH89" s="139"/>
      <c r="BI89" s="120"/>
      <c r="BJ89" s="127"/>
      <c r="BK89" s="18"/>
      <c r="BL89" s="18"/>
      <c r="BM89" s="18"/>
      <c r="BN89" s="18"/>
      <c r="BO89" s="18"/>
      <c r="BP89" s="18"/>
      <c r="BQ89" s="18"/>
      <c r="BR89" s="18"/>
      <c r="BS89" s="18"/>
      <c r="BT89" s="18"/>
      <c r="BU89" s="18"/>
      <c r="BV89" s="18"/>
      <c r="BW89" s="18"/>
      <c r="BX89" s="18"/>
      <c r="BY89" s="18"/>
      <c r="BZ89" s="18"/>
      <c r="CA89" s="18"/>
      <c r="CB89" s="18"/>
      <c r="CC89" s="18"/>
      <c r="CD89" s="18"/>
    </row>
    <row r="90" spans="1:82" ht="83.45" customHeight="1" x14ac:dyDescent="0.3">
      <c r="A90" s="184"/>
      <c r="B90" s="184"/>
      <c r="C90" s="186"/>
      <c r="D90" s="186"/>
      <c r="E90" s="186"/>
      <c r="F90" s="186"/>
      <c r="G90" s="186"/>
      <c r="H90" s="186"/>
      <c r="I90" s="186"/>
      <c r="J90" s="186"/>
      <c r="K90" s="186"/>
      <c r="L90" s="186"/>
      <c r="M90" s="186"/>
      <c r="N90" s="186"/>
      <c r="O90" s="186"/>
      <c r="P90" s="130"/>
      <c r="Q90" s="130"/>
      <c r="R90" s="130"/>
      <c r="S90" s="130"/>
      <c r="T90" s="130"/>
      <c r="U90" s="140"/>
      <c r="V90" s="140"/>
      <c r="W90" s="140"/>
      <c r="X90" s="140"/>
      <c r="Y90" s="140"/>
      <c r="Z90" s="140"/>
      <c r="AA90" s="140"/>
      <c r="AB90" s="140"/>
      <c r="AC90" s="140"/>
      <c r="AD90" s="130"/>
      <c r="AE90" s="130"/>
      <c r="AF90" s="130"/>
      <c r="AG90" s="130"/>
      <c r="AH90" s="130"/>
      <c r="AI90" s="186"/>
      <c r="AJ90" s="186"/>
      <c r="AK90" s="186"/>
      <c r="AL90" s="127">
        <v>2</v>
      </c>
      <c r="AM90" s="127"/>
      <c r="AN90" s="127" t="e">
        <f>VLOOKUP(AM90,'Opciones Tratamiento'!$M$2:$O$37,3,FALSE)</f>
        <v>#N/A</v>
      </c>
      <c r="AO90" s="132" t="e">
        <f>VLOOKUP(AM90,'Opciones Tratamiento'!$M$2:$O$37,2,FALSE)</f>
        <v>#N/A</v>
      </c>
      <c r="AP90" s="132" t="s">
        <v>546</v>
      </c>
      <c r="AQ90" s="127" t="str">
        <f t="shared" si="186"/>
        <v>Probabilidad</v>
      </c>
      <c r="AR90" s="134" t="s">
        <v>165</v>
      </c>
      <c r="AS90" s="134" t="s">
        <v>173</v>
      </c>
      <c r="AT90" s="135" t="str">
        <f t="shared" si="187"/>
        <v>40%</v>
      </c>
      <c r="AU90" s="134"/>
      <c r="AV90" s="134"/>
      <c r="AW90" s="134"/>
      <c r="AX90" s="136">
        <f>IFERROR(IF(AND(AQ89="Probabilidad",AQ90="Probabilidad"),(AZ89-(+AZ89*AT90)),IF(AQ90="Probabilidad",(M89-(+M89*AT90)),IF(AQ90="Impacto",AZ89,""))),"")</f>
        <v>0.42</v>
      </c>
      <c r="AY90" s="137" t="str">
        <f t="shared" si="188"/>
        <v>Media</v>
      </c>
      <c r="AZ90" s="135">
        <f t="shared" si="189"/>
        <v>0.42</v>
      </c>
      <c r="BA90" s="137" t="str">
        <f t="shared" ca="1" si="190"/>
        <v>Menor</v>
      </c>
      <c r="BB90" s="135">
        <f ca="1">IFERROR(IF(AND(AQ89="Impacto",AQ90="Impacto"),(BB86-(+BB86*AT90)),IF(AQ90="Impacto",($AJ$25-(+$AJ$25*AT90)),IF(AQ90="Probabilidad",BB86,""))),"")</f>
        <v>0.4</v>
      </c>
      <c r="BC90" s="138" t="str">
        <f t="shared" ca="1" si="191"/>
        <v>Moderado</v>
      </c>
      <c r="BD90" s="134" t="s">
        <v>196</v>
      </c>
      <c r="BE90" s="120"/>
      <c r="BF90" s="127"/>
      <c r="BG90" s="139"/>
      <c r="BH90" s="139"/>
      <c r="BI90" s="120"/>
      <c r="BJ90" s="127"/>
      <c r="BK90" s="24"/>
      <c r="BL90" s="24"/>
      <c r="BM90" s="24"/>
      <c r="BN90" s="24"/>
      <c r="BO90" s="24"/>
      <c r="BP90" s="24"/>
      <c r="BQ90" s="24"/>
      <c r="BR90" s="24"/>
      <c r="BS90" s="24"/>
      <c r="BT90" s="24"/>
      <c r="BU90" s="24"/>
      <c r="BV90" s="24"/>
      <c r="BW90" s="24"/>
      <c r="BX90" s="24"/>
      <c r="BY90" s="24"/>
      <c r="BZ90" s="24"/>
      <c r="CA90" s="24"/>
      <c r="CB90" s="24"/>
      <c r="CC90" s="24"/>
      <c r="CD90" s="24"/>
    </row>
    <row r="91" spans="1:82" ht="83.45" customHeight="1" x14ac:dyDescent="0.3">
      <c r="A91" s="184"/>
      <c r="B91" s="184"/>
      <c r="C91" s="186"/>
      <c r="D91" s="186"/>
      <c r="E91" s="186"/>
      <c r="F91" s="186"/>
      <c r="G91" s="186"/>
      <c r="H91" s="186"/>
      <c r="I91" s="186"/>
      <c r="J91" s="186"/>
      <c r="K91" s="186"/>
      <c r="L91" s="186"/>
      <c r="M91" s="186"/>
      <c r="N91" s="186"/>
      <c r="O91" s="186"/>
      <c r="P91" s="130"/>
      <c r="Q91" s="130"/>
      <c r="R91" s="130"/>
      <c r="S91" s="130"/>
      <c r="T91" s="130"/>
      <c r="U91" s="140"/>
      <c r="V91" s="140"/>
      <c r="W91" s="140"/>
      <c r="X91" s="140"/>
      <c r="Y91" s="140"/>
      <c r="Z91" s="140"/>
      <c r="AA91" s="140"/>
      <c r="AB91" s="140"/>
      <c r="AC91" s="140"/>
      <c r="AD91" s="130"/>
      <c r="AE91" s="130"/>
      <c r="AF91" s="130"/>
      <c r="AG91" s="130"/>
      <c r="AH91" s="130"/>
      <c r="AI91" s="186"/>
      <c r="AJ91" s="186"/>
      <c r="AK91" s="186"/>
      <c r="AL91" s="127">
        <v>3</v>
      </c>
      <c r="AM91" s="127"/>
      <c r="AN91" s="127" t="e">
        <f>VLOOKUP(AM91,'Opciones Tratamiento'!$M$2:$O$37,3,FALSE)</f>
        <v>#N/A</v>
      </c>
      <c r="AO91" s="132" t="e">
        <f>VLOOKUP(AM91,'Opciones Tratamiento'!$M$2:$O$37,2,FALSE)</f>
        <v>#N/A</v>
      </c>
      <c r="AP91" s="133" t="s">
        <v>614</v>
      </c>
      <c r="AQ91" s="127" t="str">
        <f t="shared" si="186"/>
        <v>Impacto</v>
      </c>
      <c r="AR91" s="134" t="s">
        <v>169</v>
      </c>
      <c r="AS91" s="134" t="s">
        <v>173</v>
      </c>
      <c r="AT91" s="135" t="str">
        <f t="shared" si="187"/>
        <v>25%</v>
      </c>
      <c r="AU91" s="134"/>
      <c r="AV91" s="134"/>
      <c r="AW91" s="134"/>
      <c r="AX91" s="136">
        <f t="shared" ref="AX91" si="192">IFERROR(IF(AND(AQ90="Probabilidad",AQ91="Probabilidad"),(AZ90-(+AZ90*AT91)),IF(AND(AQ90="Impacto",AQ91="Probabilidad"),(AZ89-(+AZ89*AT91)),IF(AQ91="Impacto",AZ90,""))),"")</f>
        <v>0.42</v>
      </c>
      <c r="AY91" s="137" t="str">
        <f t="shared" si="188"/>
        <v>Media</v>
      </c>
      <c r="AZ91" s="135">
        <f t="shared" si="189"/>
        <v>0.42</v>
      </c>
      <c r="BA91" s="137" t="str">
        <f t="shared" ca="1" si="190"/>
        <v>Menor</v>
      </c>
      <c r="BB91" s="135">
        <f t="shared" ref="BB91" ca="1" si="193">IFERROR(IF(AND(AQ90="Impacto",AQ91="Impacto"),(BB90-(+BB90*AT91)),IF(AND(AQ90="Probabilidad",AQ91="Impacto"),(BB89-(+BB89*AT91)),IF(AQ91="Probabilidad",BB90,""))),"")</f>
        <v>0.30000000000000004</v>
      </c>
      <c r="BC91" s="138" t="str">
        <f t="shared" ca="1" si="191"/>
        <v>Moderado</v>
      </c>
      <c r="BD91" s="134" t="s">
        <v>190</v>
      </c>
      <c r="BE91" s="120"/>
      <c r="BF91" s="127"/>
      <c r="BG91" s="139"/>
      <c r="BH91" s="139"/>
      <c r="BI91" s="120"/>
      <c r="BJ91" s="127"/>
      <c r="BK91" s="24"/>
      <c r="BL91" s="24"/>
      <c r="BM91" s="24"/>
      <c r="BN91" s="24"/>
      <c r="BO91" s="24"/>
      <c r="BP91" s="24"/>
      <c r="BQ91" s="24"/>
      <c r="BR91" s="24"/>
      <c r="BS91" s="24"/>
      <c r="BT91" s="24"/>
      <c r="BU91" s="24"/>
      <c r="BV91" s="24"/>
      <c r="BW91" s="24"/>
      <c r="BX91" s="24"/>
      <c r="BY91" s="24"/>
      <c r="BZ91" s="24"/>
      <c r="CA91" s="24"/>
      <c r="CB91" s="24"/>
      <c r="CC91" s="24"/>
      <c r="CD91" s="24"/>
    </row>
    <row r="92" spans="1:82" ht="81.599999999999994" customHeight="1" x14ac:dyDescent="0.3">
      <c r="A92" s="183">
        <v>38</v>
      </c>
      <c r="B92" s="183" t="s">
        <v>398</v>
      </c>
      <c r="C92" s="183" t="s">
        <v>191</v>
      </c>
      <c r="D92" s="183" t="s">
        <v>217</v>
      </c>
      <c r="E92" s="183"/>
      <c r="F92" s="189" t="s">
        <v>547</v>
      </c>
      <c r="G92" s="193" t="s">
        <v>615</v>
      </c>
      <c r="H92" s="183" t="str">
        <f>_xlfn.CONCAT("Posibilidad de afectación ",IF(C92='Opciones Tratamiento'!$E$2,"económica",IF(C92='Opciones Tratamiento'!$E$4,"económica y reputacional",LOWER(C92)))," por ",LOWER(F92), ", debido a ",LOWER(G92))</f>
        <v xml:space="preserve">Posibilidad de afectación económica por pérdida, extravío, hurto, robo o declaratoria de bienes faltantes pertenecientes a la entidad, debido a debilidades en los controles de vigilancia
debilidades en la solicitud y reporte de retiro de equipos por parte de los funcionarios </v>
      </c>
      <c r="I92" s="183" t="s">
        <v>420</v>
      </c>
      <c r="J92" s="185" t="s">
        <v>230</v>
      </c>
      <c r="K92" s="185" t="s">
        <v>257</v>
      </c>
      <c r="L92" s="187" t="str">
        <f>IF(OR(K92='Opciones Tratamiento'!$K$14,K92='Opciones Tratamiento'!$K$15,K92='Opciones Tratamiento'!$K$16),"Muy Baja",IF(OR(K92='Opciones Tratamiento'!$K$10,K92='Opciones Tratamiento'!$K$11,K92='Opciones Tratamiento'!$K$12,K92='Opciones Tratamiento'!$K$13),"Baja",IF(OR(K92='Opciones Tratamiento'!$K$4,K92='Opciones Tratamiento'!$K$5,K92='Opciones Tratamiento'!$K$6,K92='Opciones Tratamiento'!$K$7,K92='Opciones Tratamiento'!$K$8,K92='Opciones Tratamiento'!$K$9),"Media",IF(K92='Opciones Tratamiento'!$K$3,"Alta",IF(OR(K92='Opciones Tratamiento'!$K$2,K92='Opciones Tratamiento'!$K$17),"Muy Alta")))))</f>
        <v>Muy Alta</v>
      </c>
      <c r="M92" s="188">
        <f>IF(L92="","",IF(L92="Muy Baja",0.2,IF(L92="Baja",0.4,IF(L92="Media",0.6,IF(L92="Alta",0.8,IF(L92="Muy Alta",1,))))))</f>
        <v>1</v>
      </c>
      <c r="N92" s="188" t="s">
        <v>146</v>
      </c>
      <c r="O92" s="188" t="str">
        <f ca="1">IF(NOT(ISERROR(MATCH(N92,'Tabla Impacto'!$B$221:$B$223,0))),'Tabla Impacto'!$F$223&amp;"Por favor no seleccionar los criterios de impacto(Afectación Económica o presupuestal y Pérdida Reputacional)",N92)</f>
        <v xml:space="preserve">     Entre 10 y 50 SMLMV </v>
      </c>
      <c r="P92" s="130"/>
      <c r="Q92" s="130"/>
      <c r="R92" s="130"/>
      <c r="S92" s="130"/>
      <c r="T92" s="130"/>
      <c r="U92" s="140"/>
      <c r="V92" s="140"/>
      <c r="W92" s="140"/>
      <c r="X92" s="140"/>
      <c r="Y92" s="140"/>
      <c r="Z92" s="140"/>
      <c r="AA92" s="140"/>
      <c r="AB92" s="140"/>
      <c r="AC92" s="140"/>
      <c r="AD92" s="130"/>
      <c r="AE92" s="130"/>
      <c r="AF92" s="130"/>
      <c r="AG92" s="130"/>
      <c r="AH92" s="130"/>
      <c r="AI92" s="187" t="str">
        <f ca="1">IF(OR(D92='Opciones Tratamiento'!$H$2,D92='Opciones Tratamiento'!$H$4),IF(OR(O92='Tabla Impacto'!$C$11,O92='Tabla Impacto'!$D$11),"Leve",IF(OR(O92='Tabla Impacto'!$C$12,O92='Tabla Impacto'!$D$12),"Menor",IF(OR(O92='Tabla Impacto'!$C$13,O92='Tabla Impacto'!$D$13),"Moderado",IF(OR(O92='Tabla Impacto'!$C$14,O92='Tabla Impacto'!$D$14),"Mayor",IF(OR(O92='Tabla Impacto'!$C$15,O92='Tabla Impacto'!$D$15),"Catastrófico",""))))),IF(D92='Opciones Tratamiento'!$H$3,IF(COUNTIF('Mapa final'!P92:AH92,"Si")&lt;=5,"Moderado",IF(AND(COUNTIF('Mapa final'!P92:AH92,"Si")&gt;5,COUNTIF('Mapa final'!P92:AH92,"Si")&lt;=10),"Mayor",IF(COUNTIF('Mapa final'!P92:AH92,"Si")&gt;10,"Catastrófico","")))))</f>
        <v>Menor</v>
      </c>
      <c r="AJ92" s="188">
        <f ca="1">IF(AI92="","",IF(AI92="Leve",0.2,IF(AI92="Menor",0.4,IF(AI92="Moderado",0.6,IF(AI92="Mayor",0.8,IF(AI92="Catastrófico",1,))))))</f>
        <v>0.4</v>
      </c>
      <c r="AK92" s="190" t="str">
        <f ca="1">IF(OR(AND(L92="Muy Baja",AI92="Leve"),AND(L92="Muy Baja",AI92="Menor"),AND(L92="Baja",AI92="Leve")),"Bajo",IF(OR(AND(L92="Muy baja",AI92="Moderado"),AND(L92="Baja",AI92="Menor"),AND(L92="Baja",AI92="Moderado"),AND(L92="Media",AI92="Leve"),AND(L92="Media",AI92="Menor"),AND(L92="Media",AI92="Moderado"),AND(L92="Alta",AI92="Leve"),AND(L92="Alta",AI92="Menor")),"Moderado",IF(OR(AND(L92="Muy Baja",AI92="Mayor"),AND(L92="Baja",AI92="Mayor"),AND(L92="Media",AI92="Mayor"),AND(L92="Alta",AI92="Moderado"),AND(L92="Alta",AI92="Mayor"),AND(L92="Muy Alta",AI92="Leve"),AND(L92="Muy Alta",AI92="Menor"),AND(L92="Muy Alta",AI92="Moderado"),AND(L92="Muy Alta",AI92="Mayor")),"Alto",IF(OR(AND(L92="Muy Baja",AI92="Catastrófico"),AND(L92="Baja",AI92="Catastrófico"),AND(L92="Media",AI92="Catastrófico"),AND(L92="Alta",AI92="Catastrófico"),AND(L92="Muy Alta",AI92="Catastrófico")),"Extremo",""))))</f>
        <v>Alto</v>
      </c>
      <c r="AL92" s="127">
        <v>1</v>
      </c>
      <c r="AM92" s="127"/>
      <c r="AN92" s="127" t="e">
        <f>VLOOKUP(AM92,'Opciones Tratamiento'!$M$2:$O$37,3,FALSE)</f>
        <v>#N/A</v>
      </c>
      <c r="AO92" s="132" t="e">
        <f>VLOOKUP(AM92,'Opciones Tratamiento'!$M$2:$O$37,2,FALSE)</f>
        <v>#N/A</v>
      </c>
      <c r="AP92" s="133" t="s">
        <v>616</v>
      </c>
      <c r="AQ92" s="127" t="str">
        <f t="shared" ref="AQ92:AQ97" si="194">IF(OR(AR92="Preventivo",AR92="Detectivo"),"Probabilidad",IF(AR92="Correctivo","Impacto",""))</f>
        <v>Probabilidad</v>
      </c>
      <c r="AR92" s="134" t="s">
        <v>165</v>
      </c>
      <c r="AS92" s="134" t="s">
        <v>173</v>
      </c>
      <c r="AT92" s="135" t="str">
        <f t="shared" ref="AT92:AT97" si="195">IF(AND(AR92="Preventivo",AS92="Automático"),"50%",IF(AND(AR92="Preventivo",AS92="Manual"),"40%",IF(AND(AR92="Detectivo",AS92="Automático"),"40%",IF(AND(AR92="Detectivo",AS92="Manual"),"30%",IF(AND(AR92="Correctivo",AS92="Automático"),"35%",IF(AND(AR92="Correctivo",AS92="Manual"),"25%",""))))))</f>
        <v>40%</v>
      </c>
      <c r="AU92" s="134" t="s">
        <v>176</v>
      </c>
      <c r="AV92" s="134" t="s">
        <v>181</v>
      </c>
      <c r="AW92" s="134" t="s">
        <v>185</v>
      </c>
      <c r="AX92" s="136">
        <f>IFERROR(IF(AQ92="Probabilidad",(M92-(+M92*AT92)),IF(AQ92="Impacto",M92,"")),"")</f>
        <v>0.6</v>
      </c>
      <c r="AY92" s="137" t="str">
        <f t="shared" ref="AY92:AY97" si="196">IFERROR(IF(AX92="","",IF(AX92&lt;=0.2,"Muy Baja",IF(AX92&lt;=0.4,"Baja",IF(AX92&lt;=0.6,"Media",IF(AX92&lt;=0.8,"Alta","Muy Alta"))))),"")</f>
        <v>Media</v>
      </c>
      <c r="AZ92" s="135">
        <f t="shared" ref="AZ92:AZ97" si="197">+AX92</f>
        <v>0.6</v>
      </c>
      <c r="BA92" s="137" t="str">
        <f t="shared" ref="BA92:BA97" ca="1" si="198">IFERROR(IF(BB92="","",IF(BB92&lt;=0.2,"Leve",IF(BB92&lt;=0.4,"Menor",IF(BB92&lt;=0.6,"Moderado",IF(BB92&lt;=0.8,"Mayor","Catastrófico"))))),"")</f>
        <v>Menor</v>
      </c>
      <c r="BB92" s="135">
        <f ca="1">IFERROR(IF(AQ92="Impacto",(AJ92-(+AJ92*AT92)),IF(AQ92="Probabilidad",AJ92,"")),"")</f>
        <v>0.4</v>
      </c>
      <c r="BC92" s="138" t="str">
        <f t="shared" ref="BC92:BC97" ca="1" si="199">IFERROR(IF(OR(AND(AY92="Muy Baja",BA92="Leve"),AND(AY92="Muy Baja",BA92="Menor"),AND(AY92="Baja",BA92="Leve")),"Bajo",IF(OR(AND(AY92="Muy baja",BA92="Moderado"),AND(AY92="Baja",BA92="Menor"),AND(AY92="Baja",BA92="Moderado"),AND(AY92="Media",BA92="Leve"),AND(AY92="Media",BA92="Menor"),AND(AY92="Media",BA92="Moderado"),AND(AY92="Alta",BA92="Leve"),AND(AY92="Alta",BA92="Menor")),"Moderado",IF(OR(AND(AY92="Muy Baja",BA92="Mayor"),AND(AY92="Baja",BA92="Mayor"),AND(AY92="Media",BA92="Mayor"),AND(AY92="Alta",BA92="Moderado"),AND(AY92="Alta",BA92="Mayor"),AND(AY92="Muy Alta",BA92="Leve"),AND(AY92="Muy Alta",BA92="Menor"),AND(AY92="Muy Alta",BA92="Moderado"),AND(AY92="Muy Alta",BA92="Mayor")),"Alto",IF(OR(AND(AY92="Muy Baja",BA92="Catastrófico"),AND(AY92="Baja",BA92="Catastrófico"),AND(AY92="Media",BA92="Catastrófico"),AND(AY92="Alta",BA92="Catastrófico"),AND(AY92="Muy Alta",BA92="Catastrófico")),"Extremo","")))),"")</f>
        <v>Moderado</v>
      </c>
      <c r="BD92" s="134" t="s">
        <v>196</v>
      </c>
      <c r="BE92" s="120"/>
      <c r="BF92" s="127"/>
      <c r="BG92" s="139"/>
      <c r="BH92" s="139"/>
      <c r="BI92" s="120"/>
      <c r="BJ92" s="127"/>
      <c r="BK92" s="18"/>
      <c r="BL92" s="18"/>
      <c r="BM92" s="18"/>
      <c r="BN92" s="18"/>
      <c r="BO92" s="18"/>
      <c r="BP92" s="18"/>
      <c r="BQ92" s="18"/>
      <c r="BR92" s="18"/>
      <c r="BS92" s="18"/>
      <c r="BT92" s="18"/>
      <c r="BU92" s="18"/>
      <c r="BV92" s="18"/>
      <c r="BW92" s="18"/>
      <c r="BX92" s="18"/>
      <c r="BY92" s="18"/>
      <c r="BZ92" s="18"/>
      <c r="CA92" s="18"/>
      <c r="CB92" s="18"/>
      <c r="CC92" s="18"/>
      <c r="CD92" s="18"/>
    </row>
    <row r="93" spans="1:82" ht="81.599999999999994" customHeight="1" x14ac:dyDescent="0.3">
      <c r="A93" s="184"/>
      <c r="B93" s="184"/>
      <c r="C93" s="186"/>
      <c r="D93" s="186"/>
      <c r="E93" s="186"/>
      <c r="F93" s="189"/>
      <c r="G93" s="193"/>
      <c r="H93" s="186"/>
      <c r="I93" s="186"/>
      <c r="J93" s="186"/>
      <c r="K93" s="186"/>
      <c r="L93" s="186"/>
      <c r="M93" s="186"/>
      <c r="N93" s="186"/>
      <c r="O93" s="186"/>
      <c r="P93" s="130"/>
      <c r="Q93" s="130"/>
      <c r="R93" s="130"/>
      <c r="S93" s="130"/>
      <c r="T93" s="130"/>
      <c r="U93" s="140"/>
      <c r="V93" s="140"/>
      <c r="W93" s="140"/>
      <c r="X93" s="140"/>
      <c r="Y93" s="140"/>
      <c r="Z93" s="140"/>
      <c r="AA93" s="140"/>
      <c r="AB93" s="140"/>
      <c r="AC93" s="140"/>
      <c r="AD93" s="130"/>
      <c r="AE93" s="130"/>
      <c r="AF93" s="130"/>
      <c r="AG93" s="130"/>
      <c r="AH93" s="130"/>
      <c r="AI93" s="186"/>
      <c r="AJ93" s="186"/>
      <c r="AK93" s="186"/>
      <c r="AL93" s="127">
        <v>2</v>
      </c>
      <c r="AM93" s="127"/>
      <c r="AN93" s="127" t="e">
        <f>VLOOKUP(AM93,'Opciones Tratamiento'!$M$2:$O$37,3,FALSE)</f>
        <v>#N/A</v>
      </c>
      <c r="AO93" s="132" t="e">
        <f>VLOOKUP(AM93,'Opciones Tratamiento'!$M$2:$O$37,2,FALSE)</f>
        <v>#N/A</v>
      </c>
      <c r="AP93" s="133" t="s">
        <v>617</v>
      </c>
      <c r="AQ93" s="127" t="str">
        <f t="shared" si="194"/>
        <v>Probabilidad</v>
      </c>
      <c r="AR93" s="134" t="s">
        <v>165</v>
      </c>
      <c r="AS93" s="134" t="s">
        <v>173</v>
      </c>
      <c r="AT93" s="135" t="str">
        <f t="shared" si="195"/>
        <v>40%</v>
      </c>
      <c r="AU93" s="134" t="s">
        <v>176</v>
      </c>
      <c r="AV93" s="134" t="s">
        <v>181</v>
      </c>
      <c r="AW93" s="134" t="s">
        <v>185</v>
      </c>
      <c r="AX93" s="136">
        <f>IFERROR(IF(AND(AQ92="Probabilidad",AQ93="Probabilidad"),(AZ92-(+AZ92*AT93)),IF(AQ93="Probabilidad",(M92-(+M92*AT93)),IF(AQ93="Impacto",AZ92,""))),"")</f>
        <v>0.36</v>
      </c>
      <c r="AY93" s="137" t="str">
        <f t="shared" si="196"/>
        <v>Baja</v>
      </c>
      <c r="AZ93" s="135">
        <f t="shared" si="197"/>
        <v>0.36</v>
      </c>
      <c r="BA93" s="137" t="str">
        <f t="shared" ca="1" si="198"/>
        <v>Menor</v>
      </c>
      <c r="BB93" s="135">
        <f ca="1">IFERROR(IF(AND(AQ92="Impacto",AQ93="Impacto"),(BB89-(+BB89*AT93)),IF(AQ93="Impacto",($AJ$25-(+$AJ$25*AT93)),IF(AQ93="Probabilidad",BB89,""))),"")</f>
        <v>0.4</v>
      </c>
      <c r="BC93" s="138" t="str">
        <f t="shared" ca="1" si="199"/>
        <v>Moderado</v>
      </c>
      <c r="BD93" s="134" t="s">
        <v>196</v>
      </c>
      <c r="BE93" s="120"/>
      <c r="BF93" s="127"/>
      <c r="BG93" s="139"/>
      <c r="BH93" s="139"/>
      <c r="BI93" s="120"/>
      <c r="BJ93" s="127"/>
      <c r="BK93" s="24"/>
      <c r="BL93" s="24"/>
      <c r="BM93" s="24"/>
      <c r="BN93" s="24"/>
      <c r="BO93" s="24"/>
      <c r="BP93" s="24"/>
      <c r="BQ93" s="24"/>
      <c r="BR93" s="24"/>
      <c r="BS93" s="24"/>
      <c r="BT93" s="24"/>
      <c r="BU93" s="24"/>
      <c r="BV93" s="24"/>
      <c r="BW93" s="24"/>
      <c r="BX93" s="24"/>
      <c r="BY93" s="24"/>
      <c r="BZ93" s="24"/>
      <c r="CA93" s="24"/>
      <c r="CB93" s="24"/>
      <c r="CC93" s="24"/>
      <c r="CD93" s="24"/>
    </row>
    <row r="94" spans="1:82" ht="81.599999999999994" customHeight="1" x14ac:dyDescent="0.3">
      <c r="A94" s="184"/>
      <c r="B94" s="184"/>
      <c r="C94" s="186"/>
      <c r="D94" s="186"/>
      <c r="E94" s="186"/>
      <c r="F94" s="189"/>
      <c r="G94" s="193"/>
      <c r="H94" s="186"/>
      <c r="I94" s="186"/>
      <c r="J94" s="186"/>
      <c r="K94" s="186"/>
      <c r="L94" s="186"/>
      <c r="M94" s="186"/>
      <c r="N94" s="186"/>
      <c r="O94" s="186"/>
      <c r="P94" s="130"/>
      <c r="Q94" s="130"/>
      <c r="R94" s="130"/>
      <c r="S94" s="130"/>
      <c r="T94" s="130"/>
      <c r="U94" s="140"/>
      <c r="V94" s="140"/>
      <c r="W94" s="140"/>
      <c r="X94" s="140"/>
      <c r="Y94" s="140"/>
      <c r="Z94" s="140"/>
      <c r="AA94" s="140"/>
      <c r="AB94" s="140"/>
      <c r="AC94" s="140"/>
      <c r="AD94" s="130"/>
      <c r="AE94" s="130"/>
      <c r="AF94" s="130"/>
      <c r="AG94" s="130"/>
      <c r="AH94" s="130"/>
      <c r="AI94" s="186"/>
      <c r="AJ94" s="186"/>
      <c r="AK94" s="186"/>
      <c r="AL94" s="127">
        <v>3</v>
      </c>
      <c r="AM94" s="127"/>
      <c r="AN94" s="127" t="e">
        <f>VLOOKUP(AM94,'Opciones Tratamiento'!$M$2:$O$37,3,FALSE)</f>
        <v>#N/A</v>
      </c>
      <c r="AO94" s="132" t="e">
        <f>VLOOKUP(AM94,'Opciones Tratamiento'!$M$2:$O$37,2,FALSE)</f>
        <v>#N/A</v>
      </c>
      <c r="AP94" s="133" t="s">
        <v>548</v>
      </c>
      <c r="AQ94" s="127" t="str">
        <f t="shared" si="194"/>
        <v>Probabilidad</v>
      </c>
      <c r="AR94" s="134" t="s">
        <v>165</v>
      </c>
      <c r="AS94" s="134" t="s">
        <v>173</v>
      </c>
      <c r="AT94" s="135" t="str">
        <f t="shared" si="195"/>
        <v>40%</v>
      </c>
      <c r="AU94" s="134" t="s">
        <v>176</v>
      </c>
      <c r="AV94" s="134" t="s">
        <v>181</v>
      </c>
      <c r="AW94" s="134" t="s">
        <v>185</v>
      </c>
      <c r="AX94" s="136">
        <f t="shared" ref="AX94:AX97" si="200">IFERROR(IF(AND(AQ93="Probabilidad",AQ94="Probabilidad"),(AZ93-(+AZ93*AT94)),IF(AND(AQ93="Impacto",AQ94="Probabilidad"),(AZ92-(+AZ92*AT94)),IF(AQ94="Impacto",AZ93,""))),"")</f>
        <v>0.216</v>
      </c>
      <c r="AY94" s="137" t="str">
        <f t="shared" si="196"/>
        <v>Baja</v>
      </c>
      <c r="AZ94" s="135">
        <f t="shared" si="197"/>
        <v>0.216</v>
      </c>
      <c r="BA94" s="137" t="str">
        <f t="shared" ca="1" si="198"/>
        <v>Menor</v>
      </c>
      <c r="BB94" s="135">
        <f t="shared" ref="BB94:BB97" ca="1" si="201">IFERROR(IF(AND(AQ93="Impacto",AQ94="Impacto"),(BB93-(+BB93*AT94)),IF(AND(AQ93="Probabilidad",AQ94="Impacto"),(BB92-(+BB92*AT94)),IF(AQ94="Probabilidad",BB93,""))),"")</f>
        <v>0.4</v>
      </c>
      <c r="BC94" s="138" t="str">
        <f t="shared" ca="1" si="199"/>
        <v>Moderado</v>
      </c>
      <c r="BD94" s="134" t="s">
        <v>196</v>
      </c>
      <c r="BE94" s="120"/>
      <c r="BF94" s="127"/>
      <c r="BG94" s="139"/>
      <c r="BH94" s="139"/>
      <c r="BI94" s="120"/>
      <c r="BJ94" s="127"/>
      <c r="BK94" s="24"/>
      <c r="BL94" s="24"/>
      <c r="BM94" s="24"/>
      <c r="BN94" s="24"/>
      <c r="BO94" s="24"/>
      <c r="BP94" s="24"/>
      <c r="BQ94" s="24"/>
      <c r="BR94" s="24"/>
      <c r="BS94" s="24"/>
      <c r="BT94" s="24"/>
      <c r="BU94" s="24"/>
      <c r="BV94" s="24"/>
      <c r="BW94" s="24"/>
      <c r="BX94" s="24"/>
      <c r="BY94" s="24"/>
      <c r="BZ94" s="24"/>
      <c r="CA94" s="24"/>
      <c r="CB94" s="24"/>
      <c r="CC94" s="24"/>
      <c r="CD94" s="24"/>
    </row>
    <row r="95" spans="1:82" ht="81.599999999999994" customHeight="1" x14ac:dyDescent="0.3">
      <c r="A95" s="184"/>
      <c r="B95" s="184"/>
      <c r="C95" s="186"/>
      <c r="D95" s="186"/>
      <c r="E95" s="186"/>
      <c r="F95" s="189"/>
      <c r="G95" s="193"/>
      <c r="H95" s="186"/>
      <c r="I95" s="186"/>
      <c r="J95" s="186"/>
      <c r="K95" s="186"/>
      <c r="L95" s="186"/>
      <c r="M95" s="186"/>
      <c r="N95" s="186"/>
      <c r="O95" s="186"/>
      <c r="P95" s="130"/>
      <c r="Q95" s="130"/>
      <c r="R95" s="130"/>
      <c r="S95" s="130"/>
      <c r="T95" s="130"/>
      <c r="U95" s="140"/>
      <c r="V95" s="140"/>
      <c r="W95" s="140"/>
      <c r="X95" s="140"/>
      <c r="Y95" s="140"/>
      <c r="Z95" s="140"/>
      <c r="AA95" s="140"/>
      <c r="AB95" s="140"/>
      <c r="AC95" s="140"/>
      <c r="AD95" s="130"/>
      <c r="AE95" s="130"/>
      <c r="AF95" s="130"/>
      <c r="AG95" s="130"/>
      <c r="AH95" s="130"/>
      <c r="AI95" s="186"/>
      <c r="AJ95" s="186"/>
      <c r="AK95" s="186"/>
      <c r="AL95" s="127">
        <v>4</v>
      </c>
      <c r="AM95" s="127"/>
      <c r="AN95" s="127" t="e">
        <f>VLOOKUP(AM95,'Opciones Tratamiento'!$M$2:$O$37,3,FALSE)</f>
        <v>#N/A</v>
      </c>
      <c r="AO95" s="132" t="e">
        <f>VLOOKUP(AM95,'Opciones Tratamiento'!$M$2:$O$37,2,FALSE)</f>
        <v>#N/A</v>
      </c>
      <c r="AP95" s="132" t="s">
        <v>618</v>
      </c>
      <c r="AQ95" s="127" t="str">
        <f t="shared" si="194"/>
        <v>Probabilidad</v>
      </c>
      <c r="AR95" s="134" t="s">
        <v>167</v>
      </c>
      <c r="AS95" s="134" t="s">
        <v>173</v>
      </c>
      <c r="AT95" s="135" t="str">
        <f t="shared" si="195"/>
        <v>30%</v>
      </c>
      <c r="AU95" s="134" t="s">
        <v>176</v>
      </c>
      <c r="AV95" s="134" t="s">
        <v>183</v>
      </c>
      <c r="AW95" s="134" t="s">
        <v>185</v>
      </c>
      <c r="AX95" s="136">
        <f t="shared" si="200"/>
        <v>0.1512</v>
      </c>
      <c r="AY95" s="137" t="str">
        <f t="shared" si="196"/>
        <v>Muy Baja</v>
      </c>
      <c r="AZ95" s="135">
        <f t="shared" si="197"/>
        <v>0.1512</v>
      </c>
      <c r="BA95" s="137" t="str">
        <f t="shared" ca="1" si="198"/>
        <v>Menor</v>
      </c>
      <c r="BB95" s="135">
        <f t="shared" ca="1" si="201"/>
        <v>0.4</v>
      </c>
      <c r="BC95" s="138" t="str">
        <f t="shared" ca="1" si="199"/>
        <v>Bajo</v>
      </c>
      <c r="BD95" s="134" t="s">
        <v>196</v>
      </c>
      <c r="BE95" s="120"/>
      <c r="BF95" s="127"/>
      <c r="BG95" s="139"/>
      <c r="BH95" s="139"/>
      <c r="BI95" s="120"/>
      <c r="BJ95" s="127"/>
      <c r="BK95" s="24"/>
      <c r="BL95" s="24"/>
      <c r="BM95" s="24"/>
      <c r="BN95" s="24"/>
      <c r="BO95" s="24"/>
      <c r="BP95" s="24"/>
      <c r="BQ95" s="24"/>
      <c r="BR95" s="24"/>
      <c r="BS95" s="24"/>
      <c r="BT95" s="24"/>
      <c r="BU95" s="24"/>
      <c r="BV95" s="24"/>
      <c r="BW95" s="24"/>
      <c r="BX95" s="24"/>
      <c r="BY95" s="24"/>
      <c r="BZ95" s="24"/>
      <c r="CA95" s="24"/>
      <c r="CB95" s="24"/>
      <c r="CC95" s="24"/>
      <c r="CD95" s="24"/>
    </row>
    <row r="96" spans="1:82" ht="81.599999999999994" customHeight="1" x14ac:dyDescent="0.3">
      <c r="A96" s="184"/>
      <c r="B96" s="184"/>
      <c r="C96" s="186"/>
      <c r="D96" s="186"/>
      <c r="E96" s="186"/>
      <c r="F96" s="189"/>
      <c r="G96" s="193"/>
      <c r="H96" s="186"/>
      <c r="I96" s="186"/>
      <c r="J96" s="186"/>
      <c r="K96" s="186"/>
      <c r="L96" s="186"/>
      <c r="M96" s="186"/>
      <c r="N96" s="186"/>
      <c r="O96" s="186"/>
      <c r="P96" s="130"/>
      <c r="Q96" s="130"/>
      <c r="R96" s="130"/>
      <c r="S96" s="130"/>
      <c r="T96" s="130"/>
      <c r="U96" s="140"/>
      <c r="V96" s="140"/>
      <c r="W96" s="140"/>
      <c r="X96" s="140"/>
      <c r="Y96" s="140"/>
      <c r="Z96" s="140"/>
      <c r="AA96" s="140"/>
      <c r="AB96" s="140"/>
      <c r="AC96" s="140"/>
      <c r="AD96" s="130"/>
      <c r="AE96" s="130"/>
      <c r="AF96" s="130"/>
      <c r="AG96" s="130"/>
      <c r="AH96" s="130"/>
      <c r="AI96" s="186"/>
      <c r="AJ96" s="186"/>
      <c r="AK96" s="186"/>
      <c r="AL96" s="127">
        <v>5</v>
      </c>
      <c r="AM96" s="127"/>
      <c r="AN96" s="127" t="e">
        <f>VLOOKUP(AM96,'Opciones Tratamiento'!$M$2:$O$37,3,FALSE)</f>
        <v>#N/A</v>
      </c>
      <c r="AO96" s="132" t="e">
        <f>VLOOKUP(AM96,'Opciones Tratamiento'!$M$2:$O$37,2,FALSE)</f>
        <v>#N/A</v>
      </c>
      <c r="AP96" s="132" t="s">
        <v>619</v>
      </c>
      <c r="AQ96" s="127" t="str">
        <f t="shared" si="194"/>
        <v>Probabilidad</v>
      </c>
      <c r="AR96" s="134" t="s">
        <v>167</v>
      </c>
      <c r="AS96" s="134" t="s">
        <v>173</v>
      </c>
      <c r="AT96" s="135" t="str">
        <f t="shared" si="195"/>
        <v>30%</v>
      </c>
      <c r="AU96" s="134" t="s">
        <v>176</v>
      </c>
      <c r="AV96" s="134" t="s">
        <v>181</v>
      </c>
      <c r="AW96" s="134" t="s">
        <v>185</v>
      </c>
      <c r="AX96" s="136">
        <f t="shared" si="200"/>
        <v>0.10584</v>
      </c>
      <c r="AY96" s="137" t="str">
        <f t="shared" si="196"/>
        <v>Muy Baja</v>
      </c>
      <c r="AZ96" s="135">
        <f t="shared" si="197"/>
        <v>0.10584</v>
      </c>
      <c r="BA96" s="137" t="str">
        <f t="shared" ca="1" si="198"/>
        <v>Menor</v>
      </c>
      <c r="BB96" s="135">
        <f t="shared" ca="1" si="201"/>
        <v>0.4</v>
      </c>
      <c r="BC96" s="138" t="str">
        <f t="shared" ca="1" si="199"/>
        <v>Bajo</v>
      </c>
      <c r="BD96" s="134" t="s">
        <v>196</v>
      </c>
      <c r="BE96" s="120"/>
      <c r="BF96" s="127"/>
      <c r="BG96" s="139"/>
      <c r="BH96" s="139"/>
      <c r="BI96" s="120"/>
      <c r="BJ96" s="127"/>
      <c r="BK96" s="24"/>
      <c r="BL96" s="24"/>
      <c r="BM96" s="24"/>
      <c r="BN96" s="24"/>
      <c r="BO96" s="24"/>
      <c r="BP96" s="24"/>
      <c r="BQ96" s="24"/>
      <c r="BR96" s="24"/>
      <c r="BS96" s="24"/>
      <c r="BT96" s="24"/>
      <c r="BU96" s="24"/>
      <c r="BV96" s="24"/>
      <c r="BW96" s="24"/>
      <c r="BX96" s="24"/>
      <c r="BY96" s="24"/>
      <c r="BZ96" s="24"/>
      <c r="CA96" s="24"/>
      <c r="CB96" s="24"/>
      <c r="CC96" s="24"/>
      <c r="CD96" s="24"/>
    </row>
    <row r="97" spans="1:82" ht="81.599999999999994" customHeight="1" x14ac:dyDescent="0.3">
      <c r="A97" s="184"/>
      <c r="B97" s="184"/>
      <c r="C97" s="186"/>
      <c r="D97" s="186"/>
      <c r="E97" s="186"/>
      <c r="F97" s="189"/>
      <c r="G97" s="193"/>
      <c r="H97" s="186"/>
      <c r="I97" s="186"/>
      <c r="J97" s="186"/>
      <c r="K97" s="186"/>
      <c r="L97" s="186"/>
      <c r="M97" s="186"/>
      <c r="N97" s="186"/>
      <c r="O97" s="186"/>
      <c r="P97" s="130"/>
      <c r="Q97" s="130"/>
      <c r="R97" s="130"/>
      <c r="S97" s="130"/>
      <c r="T97" s="130"/>
      <c r="U97" s="140"/>
      <c r="V97" s="140"/>
      <c r="W97" s="140"/>
      <c r="X97" s="140"/>
      <c r="Y97" s="140"/>
      <c r="Z97" s="140"/>
      <c r="AA97" s="140"/>
      <c r="AB97" s="140"/>
      <c r="AC97" s="140"/>
      <c r="AD97" s="130"/>
      <c r="AE97" s="130"/>
      <c r="AF97" s="130"/>
      <c r="AG97" s="130"/>
      <c r="AH97" s="130"/>
      <c r="AI97" s="186"/>
      <c r="AJ97" s="186"/>
      <c r="AK97" s="186"/>
      <c r="AL97" s="127">
        <v>6</v>
      </c>
      <c r="AM97" s="127"/>
      <c r="AN97" s="127" t="e">
        <f>VLOOKUP(AM97,'Opciones Tratamiento'!$M$2:$O$37,3,FALSE)</f>
        <v>#N/A</v>
      </c>
      <c r="AO97" s="132" t="e">
        <f>VLOOKUP(AM97,'Opciones Tratamiento'!$M$2:$O$37,2,FALSE)</f>
        <v>#N/A</v>
      </c>
      <c r="AP97" s="133" t="s">
        <v>620</v>
      </c>
      <c r="AQ97" s="127" t="str">
        <f t="shared" si="194"/>
        <v>Impacto</v>
      </c>
      <c r="AR97" s="134" t="s">
        <v>169</v>
      </c>
      <c r="AS97" s="134" t="s">
        <v>173</v>
      </c>
      <c r="AT97" s="135" t="str">
        <f t="shared" si="195"/>
        <v>25%</v>
      </c>
      <c r="AU97" s="134" t="s">
        <v>176</v>
      </c>
      <c r="AV97" s="134" t="s">
        <v>181</v>
      </c>
      <c r="AW97" s="134" t="s">
        <v>185</v>
      </c>
      <c r="AX97" s="136">
        <f t="shared" si="200"/>
        <v>0.10584</v>
      </c>
      <c r="AY97" s="137" t="str">
        <f t="shared" si="196"/>
        <v>Muy Baja</v>
      </c>
      <c r="AZ97" s="135">
        <f t="shared" si="197"/>
        <v>0.10584</v>
      </c>
      <c r="BA97" s="137" t="str">
        <f t="shared" ca="1" si="198"/>
        <v>Menor</v>
      </c>
      <c r="BB97" s="135">
        <f t="shared" ca="1" si="201"/>
        <v>0.30000000000000004</v>
      </c>
      <c r="BC97" s="138" t="str">
        <f t="shared" ca="1" si="199"/>
        <v>Bajo</v>
      </c>
      <c r="BD97" s="134" t="s">
        <v>190</v>
      </c>
      <c r="BE97" s="120"/>
      <c r="BF97" s="127"/>
      <c r="BG97" s="139"/>
      <c r="BH97" s="139"/>
      <c r="BI97" s="120"/>
      <c r="BJ97" s="127"/>
      <c r="BK97" s="24"/>
      <c r="BL97" s="24"/>
      <c r="BM97" s="24"/>
      <c r="BN97" s="24"/>
      <c r="BO97" s="24"/>
      <c r="BP97" s="24"/>
      <c r="BQ97" s="24"/>
      <c r="BR97" s="24"/>
      <c r="BS97" s="24"/>
      <c r="BT97" s="24"/>
      <c r="BU97" s="24"/>
      <c r="BV97" s="24"/>
      <c r="BW97" s="24"/>
      <c r="BX97" s="24"/>
      <c r="BY97" s="24"/>
      <c r="BZ97" s="24"/>
      <c r="CA97" s="24"/>
      <c r="CB97" s="24"/>
      <c r="CC97" s="24"/>
      <c r="CD97" s="24"/>
    </row>
    <row r="98" spans="1:82" ht="151.5" customHeight="1" x14ac:dyDescent="0.3">
      <c r="A98" s="183">
        <v>39</v>
      </c>
      <c r="B98" s="183" t="s">
        <v>415</v>
      </c>
      <c r="C98" s="183" t="s">
        <v>193</v>
      </c>
      <c r="D98" s="183" t="s">
        <v>217</v>
      </c>
      <c r="E98" s="183"/>
      <c r="F98" s="189" t="s">
        <v>549</v>
      </c>
      <c r="G98" s="189" t="s">
        <v>550</v>
      </c>
      <c r="H98" s="183" t="str">
        <f>_xlfn.CONCAT("Posibilidad de afectación ",IF(C98='Opciones Tratamiento'!$E$2,"económica",IF(C98='Opciones Tratamiento'!$E$4,"económica y reputacional",LOWER(C98)))," por ",LOWER(F98), ", debido a ",LOWER(G98))</f>
        <v>Posibilidad de afectación reputacional por indebida notificación, comunicación o publicación de los actos administrativos de acuerdo con lo establecido en la normatividad, debido a .falta de actualización de información de datos personales por las cajas.
.error en la información registrada al enviar las notificaciones .
falta de seguimiento a los términos una vez se envían las comunicaciones o notificaciones electrónicas
vencimiento del contrato de correo certificado  físico y electrónico
incumplimiento de entrega por parte del proveedor de correo certificado</v>
      </c>
      <c r="I98" s="183" t="s">
        <v>201</v>
      </c>
      <c r="J98" s="185" t="s">
        <v>230</v>
      </c>
      <c r="K98" s="185" t="s">
        <v>241</v>
      </c>
      <c r="L98" s="187" t="str">
        <f>IF(OR(K98='Opciones Tratamiento'!$K$14,K98='Opciones Tratamiento'!$K$15,K98='Opciones Tratamiento'!$K$16),"Muy Baja",IF(OR(K98='Opciones Tratamiento'!$K$10,K98='Opciones Tratamiento'!$K$11,K98='Opciones Tratamiento'!$K$12,K98='Opciones Tratamiento'!$K$13),"Baja",IF(OR(K98='Opciones Tratamiento'!$K$4,K98='Opciones Tratamiento'!$K$5,K98='Opciones Tratamiento'!$K$6,K98='Opciones Tratamiento'!$K$7,K98='Opciones Tratamiento'!$K$8,K98='Opciones Tratamiento'!$K$9),"Media",IF(K98='Opciones Tratamiento'!$K$3,"Alta",IF(OR(K98='Opciones Tratamiento'!$K$2,K98='Opciones Tratamiento'!$K$17),"Muy Alta")))))</f>
        <v>Media</v>
      </c>
      <c r="M98" s="188">
        <f>IF(L98="","",IF(L98="Muy Baja",0.2,IF(L98="Baja",0.4,IF(L98="Media",0.6,IF(L98="Alta",0.8,IF(L98="Muy Alta",1,))))))</f>
        <v>0.6</v>
      </c>
      <c r="N98" s="188" t="s">
        <v>149</v>
      </c>
      <c r="O98" s="188" t="str">
        <f ca="1">IF(NOT(ISERROR(MATCH(N98,'Tabla Impacto'!$B$221:$B$223,0))),'Tabla Impacto'!$F$223&amp;"Por favor no seleccionar los criterios de impacto(Afectación Económica o presupuestal y Pérdida Reputacional)",N98)</f>
        <v xml:space="preserve">     El riesgo afecta la imagen de la entidad con algunos usuarios de relevancia frente al logro de los objetivos</v>
      </c>
      <c r="P98" s="130"/>
      <c r="Q98" s="130"/>
      <c r="R98" s="130"/>
      <c r="S98" s="130"/>
      <c r="T98" s="130"/>
      <c r="U98" s="140"/>
      <c r="V98" s="140"/>
      <c r="W98" s="140"/>
      <c r="X98" s="140"/>
      <c r="Y98" s="140"/>
      <c r="Z98" s="140"/>
      <c r="AA98" s="140"/>
      <c r="AB98" s="140"/>
      <c r="AC98" s="140"/>
      <c r="AD98" s="130"/>
      <c r="AE98" s="130"/>
      <c r="AF98" s="130"/>
      <c r="AG98" s="130"/>
      <c r="AH98" s="130"/>
      <c r="AI98" s="187" t="str">
        <f ca="1">IF(OR(D98='Opciones Tratamiento'!$H$2,D98='Opciones Tratamiento'!$H$4),IF(OR(O98='Tabla Impacto'!$C$11,O98='Tabla Impacto'!$D$11),"Leve",IF(OR(O98='Tabla Impacto'!$C$12,O98='Tabla Impacto'!$D$12),"Menor",IF(OR(O98='Tabla Impacto'!$C$13,O98='Tabla Impacto'!$D$13),"Moderado",IF(OR(O98='Tabla Impacto'!$C$14,O98='Tabla Impacto'!$D$14),"Mayor",IF(OR(O98='Tabla Impacto'!$C$15,O98='Tabla Impacto'!$D$15),"Catastrófico",""))))),IF(D98='Opciones Tratamiento'!$H$3,IF(COUNTIF('Mapa final'!P98:AH98,"Si")&lt;=5,"Moderado",IF(AND(COUNTIF('Mapa final'!P98:AH98,"Si")&gt;5,COUNTIF('Mapa final'!P98:AH98,"Si")&lt;=10),"Mayor",IF(COUNTIF('Mapa final'!P98:AH98,"Si")&gt;10,"Catastrófico","")))))</f>
        <v>Moderado</v>
      </c>
      <c r="AJ98" s="188">
        <f ca="1">IF(AI98="","",IF(AI98="Leve",0.2,IF(AI98="Menor",0.4,IF(AI98="Moderado",0.6,IF(AI98="Mayor",0.8,IF(AI98="Catastrófico",1,))))))</f>
        <v>0.6</v>
      </c>
      <c r="AK98" s="190" t="str">
        <f ca="1">IF(OR(AND(L98="Muy Baja",AI98="Leve"),AND(L98="Muy Baja",AI98="Menor"),AND(L98="Baja",AI98="Leve")),"Bajo",IF(OR(AND(L98="Muy baja",AI98="Moderado"),AND(L98="Baja",AI98="Menor"),AND(L98="Baja",AI98="Moderado"),AND(L98="Media",AI98="Leve"),AND(L98="Media",AI98="Menor"),AND(L98="Media",AI98="Moderado"),AND(L98="Alta",AI98="Leve"),AND(L98="Alta",AI98="Menor")),"Moderado",IF(OR(AND(L98="Muy Baja",AI98="Mayor"),AND(L98="Baja",AI98="Mayor"),AND(L98="Media",AI98="Mayor"),AND(L98="Alta",AI98="Moderado"),AND(L98="Alta",AI98="Mayor"),AND(L98="Muy Alta",AI98="Leve"),AND(L98="Muy Alta",AI98="Menor"),AND(L98="Muy Alta",AI98="Moderado"),AND(L98="Muy Alta",AI98="Mayor")),"Alto",IF(OR(AND(L98="Muy Baja",AI98="Catastrófico"),AND(L98="Baja",AI98="Catastrófico"),AND(L98="Media",AI98="Catastrófico"),AND(L98="Alta",AI98="Catastrófico"),AND(L98="Muy Alta",AI98="Catastrófico")),"Extremo",""))))</f>
        <v>Moderado</v>
      </c>
      <c r="AL98" s="127">
        <v>1</v>
      </c>
      <c r="AM98" s="127"/>
      <c r="AN98" s="127" t="e">
        <f>VLOOKUP(AM98,'Opciones Tratamiento'!$M$2:$O$37,3,FALSE)</f>
        <v>#N/A</v>
      </c>
      <c r="AO98" s="132" t="e">
        <f>VLOOKUP(AM98,'Opciones Tratamiento'!$M$2:$O$37,2,FALSE)</f>
        <v>#N/A</v>
      </c>
      <c r="AP98" s="133" t="s">
        <v>551</v>
      </c>
      <c r="AQ98" s="127" t="str">
        <f t="shared" ref="AQ98:AQ99" si="202">IF(OR(AR98="Preventivo",AR98="Detectivo"),"Probabilidad",IF(AR98="Correctivo","Impacto",""))</f>
        <v>Probabilidad</v>
      </c>
      <c r="AR98" s="134" t="s">
        <v>165</v>
      </c>
      <c r="AS98" s="134" t="s">
        <v>173</v>
      </c>
      <c r="AT98" s="135" t="str">
        <f t="shared" ref="AT98:AT99" si="203">IF(AND(AR98="Preventivo",AS98="Automático"),"50%",IF(AND(AR98="Preventivo",AS98="Manual"),"40%",IF(AND(AR98="Detectivo",AS98="Automático"),"40%",IF(AND(AR98="Detectivo",AS98="Manual"),"30%",IF(AND(AR98="Correctivo",AS98="Automático"),"35%",IF(AND(AR98="Correctivo",AS98="Manual"),"25%",""))))))</f>
        <v>40%</v>
      </c>
      <c r="AU98" s="134" t="s">
        <v>176</v>
      </c>
      <c r="AV98" s="134" t="s">
        <v>181</v>
      </c>
      <c r="AW98" s="134" t="s">
        <v>185</v>
      </c>
      <c r="AX98" s="136">
        <f>IFERROR(IF(AQ98="Probabilidad",(M98-(+M98*AT98)),IF(AQ98="Impacto",M98,"")),"")</f>
        <v>0.36</v>
      </c>
      <c r="AY98" s="137" t="str">
        <f t="shared" ref="AY98:AY99" si="204">IFERROR(IF(AX98="","",IF(AX98&lt;=0.2,"Muy Baja",IF(AX98&lt;=0.4,"Baja",IF(AX98&lt;=0.6,"Media",IF(AX98&lt;=0.8,"Alta","Muy Alta"))))),"")</f>
        <v>Baja</v>
      </c>
      <c r="AZ98" s="135">
        <f t="shared" ref="AZ98:AZ99" si="205">+AX98</f>
        <v>0.36</v>
      </c>
      <c r="BA98" s="137" t="str">
        <f t="shared" ref="BA98:BA99" ca="1" si="206">IFERROR(IF(BB98="","",IF(BB98&lt;=0.2,"Leve",IF(BB98&lt;=0.4,"Menor",IF(BB98&lt;=0.6,"Moderado",IF(BB98&lt;=0.8,"Mayor","Catastrófico"))))),"")</f>
        <v>Moderado</v>
      </c>
      <c r="BB98" s="135">
        <f ca="1">IFERROR(IF(AQ98="Impacto",(AJ98-(+AJ98*AT98)),IF(AQ98="Probabilidad",AJ98,"")),"")</f>
        <v>0.6</v>
      </c>
      <c r="BC98" s="138" t="str">
        <f t="shared" ref="BC98:BC99" ca="1" si="207">IFERROR(IF(OR(AND(AY98="Muy Baja",BA98="Leve"),AND(AY98="Muy Baja",BA98="Menor"),AND(AY98="Baja",BA98="Leve")),"Bajo",IF(OR(AND(AY98="Muy baja",BA98="Moderado"),AND(AY98="Baja",BA98="Menor"),AND(AY98="Baja",BA98="Moderado"),AND(AY98="Media",BA98="Leve"),AND(AY98="Media",BA98="Menor"),AND(AY98="Media",BA98="Moderado"),AND(AY98="Alta",BA98="Leve"),AND(AY98="Alta",BA98="Menor")),"Moderado",IF(OR(AND(AY98="Muy Baja",BA98="Mayor"),AND(AY98="Baja",BA98="Mayor"),AND(AY98="Media",BA98="Mayor"),AND(AY98="Alta",BA98="Moderado"),AND(AY98="Alta",BA98="Mayor"),AND(AY98="Muy Alta",BA98="Leve"),AND(AY98="Muy Alta",BA98="Menor"),AND(AY98="Muy Alta",BA98="Moderado"),AND(AY98="Muy Alta",BA98="Mayor")),"Alto",IF(OR(AND(AY98="Muy Baja",BA98="Catastrófico"),AND(AY98="Baja",BA98="Catastrófico"),AND(AY98="Media",BA98="Catastrófico"),AND(AY98="Alta",BA98="Catastrófico"),AND(AY98="Muy Alta",BA98="Catastrófico")),"Extremo","")))),"")</f>
        <v>Moderado</v>
      </c>
      <c r="BD98" s="134" t="s">
        <v>196</v>
      </c>
      <c r="BE98" s="120"/>
      <c r="BF98" s="127"/>
      <c r="BG98" s="139"/>
      <c r="BH98" s="139"/>
      <c r="BI98" s="120"/>
      <c r="BJ98" s="127"/>
      <c r="BK98" s="18"/>
      <c r="BL98" s="18"/>
      <c r="BM98" s="18"/>
      <c r="BN98" s="18"/>
      <c r="BO98" s="18"/>
      <c r="BP98" s="18"/>
      <c r="BQ98" s="18"/>
      <c r="BR98" s="18"/>
      <c r="BS98" s="18"/>
      <c r="BT98" s="18"/>
      <c r="BU98" s="18"/>
      <c r="BV98" s="18"/>
      <c r="BW98" s="18"/>
      <c r="BX98" s="18"/>
      <c r="BY98" s="18"/>
      <c r="BZ98" s="18"/>
      <c r="CA98" s="18"/>
      <c r="CB98" s="18"/>
      <c r="CC98" s="18"/>
      <c r="CD98" s="18"/>
    </row>
    <row r="99" spans="1:82" ht="151.5" customHeight="1" x14ac:dyDescent="0.3">
      <c r="A99" s="184"/>
      <c r="B99" s="184"/>
      <c r="C99" s="186"/>
      <c r="D99" s="186"/>
      <c r="E99" s="186"/>
      <c r="F99" s="189"/>
      <c r="G99" s="189"/>
      <c r="H99" s="186"/>
      <c r="I99" s="186"/>
      <c r="J99" s="186"/>
      <c r="K99" s="186"/>
      <c r="L99" s="186"/>
      <c r="M99" s="186"/>
      <c r="N99" s="186"/>
      <c r="O99" s="186"/>
      <c r="P99" s="130"/>
      <c r="Q99" s="130"/>
      <c r="R99" s="130"/>
      <c r="S99" s="130"/>
      <c r="T99" s="130"/>
      <c r="U99" s="140"/>
      <c r="V99" s="140"/>
      <c r="W99" s="140"/>
      <c r="X99" s="140"/>
      <c r="Y99" s="140"/>
      <c r="Z99" s="140"/>
      <c r="AA99" s="140"/>
      <c r="AB99" s="140"/>
      <c r="AC99" s="140"/>
      <c r="AD99" s="130"/>
      <c r="AE99" s="130"/>
      <c r="AF99" s="130"/>
      <c r="AG99" s="130"/>
      <c r="AH99" s="130"/>
      <c r="AI99" s="186"/>
      <c r="AJ99" s="186"/>
      <c r="AK99" s="186"/>
      <c r="AL99" s="127">
        <v>2</v>
      </c>
      <c r="AM99" s="127"/>
      <c r="AN99" s="127" t="e">
        <f>VLOOKUP(AM99,'Opciones Tratamiento'!$M$2:$O$37,3,FALSE)</f>
        <v>#N/A</v>
      </c>
      <c r="AO99" s="132" t="e">
        <f>VLOOKUP(AM99,'Opciones Tratamiento'!$M$2:$O$37,2,FALSE)</f>
        <v>#N/A</v>
      </c>
      <c r="AP99" s="133" t="s">
        <v>621</v>
      </c>
      <c r="AQ99" s="127" t="str">
        <f t="shared" si="202"/>
        <v>Probabilidad</v>
      </c>
      <c r="AR99" s="134" t="s">
        <v>165</v>
      </c>
      <c r="AS99" s="134" t="s">
        <v>173</v>
      </c>
      <c r="AT99" s="135" t="str">
        <f t="shared" si="203"/>
        <v>40%</v>
      </c>
      <c r="AU99" s="134" t="s">
        <v>176</v>
      </c>
      <c r="AV99" s="134" t="s">
        <v>181</v>
      </c>
      <c r="AW99" s="134" t="s">
        <v>185</v>
      </c>
      <c r="AX99" s="136">
        <f>IFERROR(IF(AND(AQ98="Probabilidad",AQ99="Probabilidad"),(AZ98-(+AZ98*AT99)),IF(AQ99="Probabilidad",(M98-(+M98*AT99)),IF(AQ99="Impacto",AZ98,""))),"")</f>
        <v>0.216</v>
      </c>
      <c r="AY99" s="137" t="str">
        <f t="shared" si="204"/>
        <v>Baja</v>
      </c>
      <c r="AZ99" s="135">
        <f t="shared" si="205"/>
        <v>0.216</v>
      </c>
      <c r="BA99" s="137" t="str">
        <f t="shared" si="206"/>
        <v>Moderado</v>
      </c>
      <c r="BB99" s="135">
        <v>0.6</v>
      </c>
      <c r="BC99" s="138" t="str">
        <f t="shared" si="207"/>
        <v>Moderado</v>
      </c>
      <c r="BD99" s="134" t="s">
        <v>190</v>
      </c>
      <c r="BE99" s="120"/>
      <c r="BF99" s="127"/>
      <c r="BG99" s="139"/>
      <c r="BH99" s="139"/>
      <c r="BI99" s="120"/>
      <c r="BJ99" s="127"/>
      <c r="BK99" s="24"/>
      <c r="BL99" s="24"/>
      <c r="BM99" s="24"/>
      <c r="BN99" s="24"/>
      <c r="BO99" s="24"/>
      <c r="BP99" s="24"/>
      <c r="BQ99" s="24"/>
      <c r="BR99" s="24"/>
      <c r="BS99" s="24"/>
      <c r="BT99" s="24"/>
      <c r="BU99" s="24"/>
      <c r="BV99" s="24"/>
      <c r="BW99" s="24"/>
      <c r="BX99" s="24"/>
      <c r="BY99" s="24"/>
      <c r="BZ99" s="24"/>
      <c r="CA99" s="24"/>
      <c r="CB99" s="24"/>
      <c r="CC99" s="24"/>
      <c r="CD99" s="24"/>
    </row>
    <row r="100" spans="1:82" ht="83.45" customHeight="1" x14ac:dyDescent="0.3">
      <c r="A100" s="183">
        <v>40</v>
      </c>
      <c r="B100" s="183" t="s">
        <v>552</v>
      </c>
      <c r="C100" s="183" t="s">
        <v>195</v>
      </c>
      <c r="D100" s="183" t="s">
        <v>217</v>
      </c>
      <c r="E100" s="183"/>
      <c r="F100" s="189" t="s">
        <v>553</v>
      </c>
      <c r="G100" s="189" t="s">
        <v>622</v>
      </c>
      <c r="H100" s="183" t="str">
        <f>_xlfn.CONCAT("Posibilidad de afectación ",IF(C100='Opciones Tratamiento'!$E$2,"económica",IF(C100='Opciones Tratamiento'!$E$4,"económica y reputacional",LOWER(C100)))," por ",LOWER(F100), ", debido a ",LOWER(G100))</f>
        <v>Posibilidad de afectación económica y reputacional por deterioro de la calidad de vida de los funcionarios, debido a agotamiento de la fuerza laboral sobre carga laboral mal clima organizacional incumplimiento de las disposiciones legales en los diseños puestos de trabajo</v>
      </c>
      <c r="I100" s="183" t="s">
        <v>205</v>
      </c>
      <c r="J100" s="185" t="s">
        <v>230</v>
      </c>
      <c r="K100" s="185" t="s">
        <v>257</v>
      </c>
      <c r="L100" s="187" t="str">
        <f>IF(OR(K100='Opciones Tratamiento'!$K$14,K100='Opciones Tratamiento'!$K$15,K100='Opciones Tratamiento'!$K$16),"Muy Baja",IF(OR(K100='Opciones Tratamiento'!$K$10,K100='Opciones Tratamiento'!$K$11,K100='Opciones Tratamiento'!$K$12,K100='Opciones Tratamiento'!$K$13),"Baja",IF(OR(K100='Opciones Tratamiento'!$K$4,K100='Opciones Tratamiento'!$K$5,K100='Opciones Tratamiento'!$K$6,K100='Opciones Tratamiento'!$K$7,K100='Opciones Tratamiento'!$K$8,K100='Opciones Tratamiento'!$K$9),"Media",IF(K100='Opciones Tratamiento'!$K$3,"Alta",IF(OR(K100='Opciones Tratamiento'!$K$2,K100='Opciones Tratamiento'!$K$17),"Muy Alta")))))</f>
        <v>Muy Alta</v>
      </c>
      <c r="M100" s="188">
        <f>IF(L100="","",IF(L100="Muy Baja",0.2,IF(L100="Baja",0.4,IF(L100="Media",0.6,IF(L100="Alta",0.8,IF(L100="Muy Alta",1,))))))</f>
        <v>1</v>
      </c>
      <c r="N100" s="188" t="s">
        <v>148</v>
      </c>
      <c r="O100" s="188" t="str">
        <f ca="1">IF(NOT(ISERROR(MATCH(N100,'Tabla Impacto'!$B$221:$B$223,0))),'Tabla Impacto'!$F$223&amp;"Por favor no seleccionar los criterios de impacto(Afectación Económica o presupuestal y Pérdida Reputacional)",N100)</f>
        <v xml:space="preserve">     Entre 50 y 100 SMLMV </v>
      </c>
      <c r="P100" s="130"/>
      <c r="Q100" s="130"/>
      <c r="R100" s="130"/>
      <c r="S100" s="130"/>
      <c r="T100" s="130"/>
      <c r="U100" s="140"/>
      <c r="V100" s="140"/>
      <c r="W100" s="140"/>
      <c r="X100" s="140"/>
      <c r="Y100" s="140"/>
      <c r="Z100" s="140"/>
      <c r="AA100" s="140"/>
      <c r="AB100" s="140"/>
      <c r="AC100" s="140"/>
      <c r="AD100" s="130"/>
      <c r="AE100" s="130"/>
      <c r="AF100" s="130"/>
      <c r="AG100" s="130"/>
      <c r="AH100" s="130"/>
      <c r="AI100" s="187" t="str">
        <f ca="1">IF(OR(D100='Opciones Tratamiento'!$H$2,D100='Opciones Tratamiento'!$H$4),IF(OR(O100='Tabla Impacto'!$C$11,O100='Tabla Impacto'!$D$11),"Leve",IF(OR(O100='Tabla Impacto'!$C$12,O100='Tabla Impacto'!$D$12),"Menor",IF(OR(O100='Tabla Impacto'!$C$13,O100='Tabla Impacto'!$D$13),"Moderado",IF(OR(O100='Tabla Impacto'!$C$14,O100='Tabla Impacto'!$D$14),"Mayor",IF(OR(O100='Tabla Impacto'!$C$15,O100='Tabla Impacto'!$D$15),"Catastrófico",""))))),IF(D100='Opciones Tratamiento'!$H$3,IF(COUNTIF('Mapa final'!P100:AH100,"Si")&lt;=5,"Moderado",IF(AND(COUNTIF('Mapa final'!P100:AH100,"Si")&gt;5,COUNTIF('Mapa final'!P100:AH100,"Si")&lt;=10),"Mayor",IF(COUNTIF('Mapa final'!P100:AH100,"Si")&gt;10,"Catastrófico","")))))</f>
        <v>Moderado</v>
      </c>
      <c r="AJ100" s="188">
        <f ca="1">IF(AI100="","",IF(AI100="Leve",0.2,IF(AI100="Menor",0.4,IF(AI100="Moderado",0.6,IF(AI100="Mayor",0.8,IF(AI100="Catastrófico",1,))))))</f>
        <v>0.6</v>
      </c>
      <c r="AK100" s="190" t="str">
        <f ca="1">IF(OR(AND(L100="Muy Baja",AI100="Leve"),AND(L100="Muy Baja",AI100="Menor"),AND(L100="Baja",AI100="Leve")),"Bajo",IF(OR(AND(L100="Muy baja",AI100="Moderado"),AND(L100="Baja",AI100="Menor"),AND(L100="Baja",AI100="Moderado"),AND(L100="Media",AI100="Leve"),AND(L100="Media",AI100="Menor"),AND(L100="Media",AI100="Moderado"),AND(L100="Alta",AI100="Leve"),AND(L100="Alta",AI100="Menor")),"Moderado",IF(OR(AND(L100="Muy Baja",AI100="Mayor"),AND(L100="Baja",AI100="Mayor"),AND(L100="Media",AI100="Mayor"),AND(L100="Alta",AI100="Moderado"),AND(L100="Alta",AI100="Mayor"),AND(L100="Muy Alta",AI100="Leve"),AND(L100="Muy Alta",AI100="Menor"),AND(L100="Muy Alta",AI100="Moderado"),AND(L100="Muy Alta",AI100="Mayor")),"Alto",IF(OR(AND(L100="Muy Baja",AI100="Catastrófico"),AND(L100="Baja",AI100="Catastrófico"),AND(L100="Media",AI100="Catastrófico"),AND(L100="Alta",AI100="Catastrófico"),AND(L100="Muy Alta",AI100="Catastrófico")),"Extremo",""))))</f>
        <v>Alto</v>
      </c>
      <c r="AL100" s="127">
        <v>1</v>
      </c>
      <c r="AM100" s="127"/>
      <c r="AN100" s="127" t="e">
        <f>VLOOKUP(AM100,'Opciones Tratamiento'!$M$2:$O$37,3,FALSE)</f>
        <v>#N/A</v>
      </c>
      <c r="AO100" s="132" t="e">
        <f>VLOOKUP(AM100,'Opciones Tratamiento'!$M$2:$O$37,2,FALSE)</f>
        <v>#N/A</v>
      </c>
      <c r="AP100" s="133" t="s">
        <v>554</v>
      </c>
      <c r="AQ100" s="127" t="str">
        <f t="shared" ref="AQ100:AQ102" si="208">IF(OR(AR100="Preventivo",AR100="Detectivo"),"Probabilidad",IF(AR100="Correctivo","Impacto",""))</f>
        <v>Probabilidad</v>
      </c>
      <c r="AR100" s="134" t="s">
        <v>165</v>
      </c>
      <c r="AS100" s="134" t="s">
        <v>173</v>
      </c>
      <c r="AT100" s="135" t="str">
        <f t="shared" ref="AT100:AT102" si="209">IF(AND(AR100="Preventivo",AS100="Automático"),"50%",IF(AND(AR100="Preventivo",AS100="Manual"),"40%",IF(AND(AR100="Detectivo",AS100="Automático"),"40%",IF(AND(AR100="Detectivo",AS100="Manual"),"30%",IF(AND(AR100="Correctivo",AS100="Automático"),"35%",IF(AND(AR100="Correctivo",AS100="Manual"),"25%",""))))))</f>
        <v>40%</v>
      </c>
      <c r="AU100" s="134" t="s">
        <v>176</v>
      </c>
      <c r="AV100" s="134" t="s">
        <v>181</v>
      </c>
      <c r="AW100" s="134" t="s">
        <v>185</v>
      </c>
      <c r="AX100" s="136">
        <f>IFERROR(IF(AQ100="Probabilidad",(M100-(+M100*AT100)),IF(AQ100="Impacto",M100,"")),"")</f>
        <v>0.6</v>
      </c>
      <c r="AY100" s="137" t="str">
        <f t="shared" ref="AY100:AY102" si="210">IFERROR(IF(AX100="","",IF(AX100&lt;=0.2,"Muy Baja",IF(AX100&lt;=0.4,"Baja",IF(AX100&lt;=0.6,"Media",IF(AX100&lt;=0.8,"Alta","Muy Alta"))))),"")</f>
        <v>Media</v>
      </c>
      <c r="AZ100" s="135">
        <f t="shared" ref="AZ100:AZ102" si="211">+AX100</f>
        <v>0.6</v>
      </c>
      <c r="BA100" s="137" t="str">
        <f t="shared" ref="BA100:BA102" ca="1" si="212">IFERROR(IF(BB100="","",IF(BB100&lt;=0.2,"Leve",IF(BB100&lt;=0.4,"Menor",IF(BB100&lt;=0.6,"Moderado",IF(BB100&lt;=0.8,"Mayor","Catastrófico"))))),"")</f>
        <v>Moderado</v>
      </c>
      <c r="BB100" s="135">
        <f ca="1">IFERROR(IF(AQ100="Impacto",(AJ100-(+AJ100*AT100)),IF(AQ100="Probabilidad",AJ100,"")),"")</f>
        <v>0.6</v>
      </c>
      <c r="BC100" s="138" t="str">
        <f t="shared" ref="BC100:BC102" ca="1" si="213">IFERROR(IF(OR(AND(AY100="Muy Baja",BA100="Leve"),AND(AY100="Muy Baja",BA100="Menor"),AND(AY100="Baja",BA100="Leve")),"Bajo",IF(OR(AND(AY100="Muy baja",BA100="Moderado"),AND(AY100="Baja",BA100="Menor"),AND(AY100="Baja",BA100="Moderado"),AND(AY100="Media",BA100="Leve"),AND(AY100="Media",BA100="Menor"),AND(AY100="Media",BA100="Moderado"),AND(AY100="Alta",BA100="Leve"),AND(AY100="Alta",BA100="Menor")),"Moderado",IF(OR(AND(AY100="Muy Baja",BA100="Mayor"),AND(AY100="Baja",BA100="Mayor"),AND(AY100="Media",BA100="Mayor"),AND(AY100="Alta",BA100="Moderado"),AND(AY100="Alta",BA100="Mayor"),AND(AY100="Muy Alta",BA100="Leve"),AND(AY100="Muy Alta",BA100="Menor"),AND(AY100="Muy Alta",BA100="Moderado"),AND(AY100="Muy Alta",BA100="Mayor")),"Alto",IF(OR(AND(AY100="Muy Baja",BA100="Catastrófico"),AND(AY100="Baja",BA100="Catastrófico"),AND(AY100="Media",BA100="Catastrófico"),AND(AY100="Alta",BA100="Catastrófico"),AND(AY100="Muy Alta",BA100="Catastrófico")),"Extremo","")))),"")</f>
        <v>Moderado</v>
      </c>
      <c r="BD100" s="134" t="s">
        <v>196</v>
      </c>
      <c r="BE100" s="120"/>
      <c r="BF100" s="127"/>
      <c r="BG100" s="139"/>
      <c r="BH100" s="139"/>
      <c r="BI100" s="120"/>
      <c r="BJ100" s="127"/>
      <c r="BK100" s="18"/>
      <c r="BL100" s="18"/>
      <c r="BM100" s="18"/>
      <c r="BN100" s="18"/>
      <c r="BO100" s="18"/>
      <c r="BP100" s="18"/>
      <c r="BQ100" s="18"/>
      <c r="BR100" s="18"/>
      <c r="BS100" s="18"/>
      <c r="BT100" s="18"/>
      <c r="BU100" s="18"/>
      <c r="BV100" s="18"/>
      <c r="BW100" s="18"/>
      <c r="BX100" s="18"/>
      <c r="BY100" s="18"/>
      <c r="BZ100" s="18"/>
      <c r="CA100" s="18"/>
      <c r="CB100" s="18"/>
      <c r="CC100" s="18"/>
      <c r="CD100" s="18"/>
    </row>
    <row r="101" spans="1:82" ht="83.45" customHeight="1" x14ac:dyDescent="0.3">
      <c r="A101" s="184"/>
      <c r="B101" s="184"/>
      <c r="C101" s="186"/>
      <c r="D101" s="186"/>
      <c r="E101" s="186"/>
      <c r="F101" s="189"/>
      <c r="G101" s="189"/>
      <c r="H101" s="186"/>
      <c r="I101" s="186"/>
      <c r="J101" s="186"/>
      <c r="K101" s="186"/>
      <c r="L101" s="186"/>
      <c r="M101" s="186"/>
      <c r="N101" s="186"/>
      <c r="O101" s="186"/>
      <c r="P101" s="130"/>
      <c r="Q101" s="130"/>
      <c r="R101" s="130"/>
      <c r="S101" s="130"/>
      <c r="T101" s="130"/>
      <c r="U101" s="140"/>
      <c r="V101" s="140"/>
      <c r="W101" s="140"/>
      <c r="X101" s="140"/>
      <c r="Y101" s="140"/>
      <c r="Z101" s="140"/>
      <c r="AA101" s="140"/>
      <c r="AB101" s="140"/>
      <c r="AC101" s="140"/>
      <c r="AD101" s="130"/>
      <c r="AE101" s="130"/>
      <c r="AF101" s="130"/>
      <c r="AG101" s="130"/>
      <c r="AH101" s="130"/>
      <c r="AI101" s="186"/>
      <c r="AJ101" s="186"/>
      <c r="AK101" s="186"/>
      <c r="AL101" s="127">
        <v>2</v>
      </c>
      <c r="AM101" s="127"/>
      <c r="AN101" s="127" t="e">
        <f>VLOOKUP(AM101,'Opciones Tratamiento'!$M$2:$O$37,3,FALSE)</f>
        <v>#N/A</v>
      </c>
      <c r="AO101" s="132" t="e">
        <f>VLOOKUP(AM101,'Opciones Tratamiento'!$M$2:$O$37,2,FALSE)</f>
        <v>#N/A</v>
      </c>
      <c r="AP101" s="133" t="s">
        <v>623</v>
      </c>
      <c r="AQ101" s="127" t="str">
        <f t="shared" si="208"/>
        <v>Probabilidad</v>
      </c>
      <c r="AR101" s="134" t="s">
        <v>165</v>
      </c>
      <c r="AS101" s="134" t="s">
        <v>173</v>
      </c>
      <c r="AT101" s="135" t="str">
        <f t="shared" si="209"/>
        <v>40%</v>
      </c>
      <c r="AU101" s="134" t="s">
        <v>176</v>
      </c>
      <c r="AV101" s="134" t="s">
        <v>181</v>
      </c>
      <c r="AW101" s="134" t="s">
        <v>185</v>
      </c>
      <c r="AX101" s="136">
        <f>IFERROR(IF(AND(AQ100="Probabilidad",AQ101="Probabilidad"),(AZ100-(+AZ100*AT101)),IF(AQ101="Probabilidad",(M100-(+M100*AT101)),IF(AQ101="Impacto",AZ100,""))),"")</f>
        <v>0.36</v>
      </c>
      <c r="AY101" s="137" t="str">
        <f t="shared" si="210"/>
        <v>Baja</v>
      </c>
      <c r="AZ101" s="135">
        <f t="shared" si="211"/>
        <v>0.36</v>
      </c>
      <c r="BA101" s="137" t="str">
        <f t="shared" ca="1" si="212"/>
        <v>Moderado</v>
      </c>
      <c r="BB101" s="135">
        <f ca="1">IFERROR(IF(AND(AQ100="Impacto",AQ101="Impacto"),(BB98-(+BB98*AT101)),IF(AQ101="Impacto",($AJ$25-(+$AJ$25*AT101)),IF(AQ101="Probabilidad",BB98,""))),"")</f>
        <v>0.6</v>
      </c>
      <c r="BC101" s="138" t="str">
        <f t="shared" ca="1" si="213"/>
        <v>Moderado</v>
      </c>
      <c r="BD101" s="134" t="s">
        <v>196</v>
      </c>
      <c r="BE101" s="120"/>
      <c r="BF101" s="127"/>
      <c r="BG101" s="139"/>
      <c r="BH101" s="139"/>
      <c r="BI101" s="120"/>
      <c r="BJ101" s="127"/>
      <c r="BK101" s="24"/>
      <c r="BL101" s="24"/>
      <c r="BM101" s="24"/>
      <c r="BN101" s="24"/>
      <c r="BO101" s="24"/>
      <c r="BP101" s="24"/>
      <c r="BQ101" s="24"/>
      <c r="BR101" s="24"/>
      <c r="BS101" s="24"/>
      <c r="BT101" s="24"/>
      <c r="BU101" s="24"/>
      <c r="BV101" s="24"/>
      <c r="BW101" s="24"/>
      <c r="BX101" s="24"/>
      <c r="BY101" s="24"/>
      <c r="BZ101" s="24"/>
      <c r="CA101" s="24"/>
      <c r="CB101" s="24"/>
      <c r="CC101" s="24"/>
      <c r="CD101" s="24"/>
    </row>
    <row r="102" spans="1:82" ht="83.45" customHeight="1" x14ac:dyDescent="0.3">
      <c r="A102" s="184"/>
      <c r="B102" s="184"/>
      <c r="C102" s="186"/>
      <c r="D102" s="186"/>
      <c r="E102" s="186"/>
      <c r="F102" s="189"/>
      <c r="G102" s="189"/>
      <c r="H102" s="186"/>
      <c r="I102" s="186"/>
      <c r="J102" s="186"/>
      <c r="K102" s="186"/>
      <c r="L102" s="186"/>
      <c r="M102" s="186"/>
      <c r="N102" s="186"/>
      <c r="O102" s="186"/>
      <c r="P102" s="130"/>
      <c r="Q102" s="130"/>
      <c r="R102" s="130"/>
      <c r="S102" s="130"/>
      <c r="T102" s="130"/>
      <c r="U102" s="140"/>
      <c r="V102" s="140"/>
      <c r="W102" s="140"/>
      <c r="X102" s="140"/>
      <c r="Y102" s="140"/>
      <c r="Z102" s="140"/>
      <c r="AA102" s="140"/>
      <c r="AB102" s="140"/>
      <c r="AC102" s="140"/>
      <c r="AD102" s="130"/>
      <c r="AE102" s="130"/>
      <c r="AF102" s="130"/>
      <c r="AG102" s="130"/>
      <c r="AH102" s="130"/>
      <c r="AI102" s="186"/>
      <c r="AJ102" s="186"/>
      <c r="AK102" s="186"/>
      <c r="AL102" s="127">
        <v>3</v>
      </c>
      <c r="AM102" s="127"/>
      <c r="AN102" s="127" t="e">
        <f>VLOOKUP(AM102,'Opciones Tratamiento'!$M$2:$O$37,3,FALSE)</f>
        <v>#N/A</v>
      </c>
      <c r="AO102" s="132" t="e">
        <f>VLOOKUP(AM102,'Opciones Tratamiento'!$M$2:$O$37,2,FALSE)</f>
        <v>#N/A</v>
      </c>
      <c r="AP102" s="133" t="s">
        <v>555</v>
      </c>
      <c r="AQ102" s="127" t="str">
        <f t="shared" si="208"/>
        <v>Probabilidad</v>
      </c>
      <c r="AR102" s="134" t="s">
        <v>165</v>
      </c>
      <c r="AS102" s="134" t="s">
        <v>173</v>
      </c>
      <c r="AT102" s="135" t="str">
        <f t="shared" si="209"/>
        <v>40%</v>
      </c>
      <c r="AU102" s="134" t="s">
        <v>176</v>
      </c>
      <c r="AV102" s="134" t="s">
        <v>181</v>
      </c>
      <c r="AW102" s="134" t="s">
        <v>185</v>
      </c>
      <c r="AX102" s="136">
        <f t="shared" ref="AX102" si="214">IFERROR(IF(AND(AQ101="Probabilidad",AQ102="Probabilidad"),(AZ101-(+AZ101*AT102)),IF(AND(AQ101="Impacto",AQ102="Probabilidad"),(AZ100-(+AZ100*AT102)),IF(AQ102="Impacto",AZ101,""))),"")</f>
        <v>0.216</v>
      </c>
      <c r="AY102" s="137" t="str">
        <f t="shared" si="210"/>
        <v>Baja</v>
      </c>
      <c r="AZ102" s="135">
        <f t="shared" si="211"/>
        <v>0.216</v>
      </c>
      <c r="BA102" s="137" t="str">
        <f t="shared" ca="1" si="212"/>
        <v>Moderado</v>
      </c>
      <c r="BB102" s="135">
        <f t="shared" ref="BB102" ca="1" si="215">IFERROR(IF(AND(AQ101="Impacto",AQ102="Impacto"),(BB101-(+BB101*AT102)),IF(AND(AQ101="Probabilidad",AQ102="Impacto"),(BB100-(+BB100*AT102)),IF(AQ102="Probabilidad",BB101,""))),"")</f>
        <v>0.6</v>
      </c>
      <c r="BC102" s="138" t="str">
        <f t="shared" ca="1" si="213"/>
        <v>Moderado</v>
      </c>
      <c r="BD102" s="134" t="s">
        <v>190</v>
      </c>
      <c r="BE102" s="120"/>
      <c r="BF102" s="127"/>
      <c r="BG102" s="139"/>
      <c r="BH102" s="139"/>
      <c r="BI102" s="120"/>
      <c r="BJ102" s="127"/>
      <c r="BK102" s="24"/>
      <c r="BL102" s="24"/>
      <c r="BM102" s="24"/>
      <c r="BN102" s="24"/>
      <c r="BO102" s="24"/>
      <c r="BP102" s="24"/>
      <c r="BQ102" s="24"/>
      <c r="BR102" s="24"/>
      <c r="BS102" s="24"/>
      <c r="BT102" s="24"/>
      <c r="BU102" s="24"/>
      <c r="BV102" s="24"/>
      <c r="BW102" s="24"/>
      <c r="BX102" s="24"/>
      <c r="BY102" s="24"/>
      <c r="BZ102" s="24"/>
      <c r="CA102" s="24"/>
      <c r="CB102" s="24"/>
      <c r="CC102" s="24"/>
      <c r="CD102" s="24"/>
    </row>
    <row r="103" spans="1:82" ht="65.45" customHeight="1" x14ac:dyDescent="0.3">
      <c r="A103" s="183">
        <v>41</v>
      </c>
      <c r="B103" s="183" t="s">
        <v>552</v>
      </c>
      <c r="C103" s="183"/>
      <c r="D103" s="183"/>
      <c r="E103" s="183"/>
      <c r="F103" s="183" t="s">
        <v>556</v>
      </c>
      <c r="G103" s="183" t="s">
        <v>624</v>
      </c>
      <c r="H103" s="183" t="str">
        <f>_xlfn.CONCAT("Posibilidad de afectación ",IF(C103='Opciones Tratamiento'!$E$2,"económica",IF(C103='Opciones Tratamiento'!$E$4,"económica y reputacional",LOWER(C103)))," por ",LOWER(F103), ", debido a ",LOWER(G103))</f>
        <v>Posibilidad de afectación  por desalineación del recurso humano con la estrategia institucional, debido a debilidades en la selección del talento humano, debilidades en el programa de inducción y reinducción,, deficiente promoción y apropiación del código de integridad, falta de propósito organizacional, debilidades en el programa de cultura organizacional</v>
      </c>
      <c r="I103" s="183" t="s">
        <v>205</v>
      </c>
      <c r="J103" s="185" t="s">
        <v>231</v>
      </c>
      <c r="K103" s="185" t="s">
        <v>257</v>
      </c>
      <c r="L103" s="187" t="str">
        <f>IF(OR(K103='Opciones Tratamiento'!$K$14,K103='Opciones Tratamiento'!$K$15,K103='Opciones Tratamiento'!$K$16),"Muy Baja",IF(OR(K103='Opciones Tratamiento'!$K$10,K103='Opciones Tratamiento'!$K$11,K103='Opciones Tratamiento'!$K$12,K103='Opciones Tratamiento'!$K$13),"Baja",IF(OR(K103='Opciones Tratamiento'!$K$4,K103='Opciones Tratamiento'!$K$5,K103='Opciones Tratamiento'!$K$6,K103='Opciones Tratamiento'!$K$7,K103='Opciones Tratamiento'!$K$8,K103='Opciones Tratamiento'!$K$9),"Media",IF(K103='Opciones Tratamiento'!$K$3,"Alta",IF(OR(K103='Opciones Tratamiento'!$K$2,K103='Opciones Tratamiento'!$K$17),"Muy Alta")))))</f>
        <v>Muy Alta</v>
      </c>
      <c r="M103" s="188">
        <f>IF(L103="","",IF(L103="Muy Baja",0.2,IF(L103="Baja",0.4,IF(L103="Media",0.6,IF(L103="Alta",0.8,IF(L103="Muy Alta",1,))))))</f>
        <v>1</v>
      </c>
      <c r="N103" s="188" t="s">
        <v>151</v>
      </c>
      <c r="O103" s="188" t="str">
        <f ca="1">IF(NOT(ISERROR(MATCH(N103,'Tabla Impacto'!$B$221:$B$223,0))),'Tabla Impacto'!$F$223&amp;"Por favor no seleccionar los criterios de impacto(Afectación Económica o presupuestal y Pérdida Reputacional)",N103)</f>
        <v xml:space="preserve">     El riesgo afecta la imagen de de la entidad con efecto publicitario sostenido a nivel de sector administrativo, nivel departamental o municipal</v>
      </c>
      <c r="P103" s="130"/>
      <c r="Q103" s="130"/>
      <c r="R103" s="130"/>
      <c r="S103" s="130"/>
      <c r="T103" s="130"/>
      <c r="U103" s="140"/>
      <c r="V103" s="140"/>
      <c r="W103" s="140"/>
      <c r="X103" s="140"/>
      <c r="Y103" s="140"/>
      <c r="Z103" s="140"/>
      <c r="AA103" s="140"/>
      <c r="AB103" s="140"/>
      <c r="AC103" s="140"/>
      <c r="AD103" s="130"/>
      <c r="AE103" s="130"/>
      <c r="AF103" s="130"/>
      <c r="AG103" s="130"/>
      <c r="AH103" s="130"/>
      <c r="AI103" s="187" t="s">
        <v>134</v>
      </c>
      <c r="AJ103" s="188">
        <f>IF(AI103="","",IF(AI103="Leve",0.2,IF(AI103="Menor",0.4,IF(AI103="Moderado",0.6,IF(AI103="Mayor",0.8,IF(AI103="Catastrófico",1,))))))</f>
        <v>0.8</v>
      </c>
      <c r="AK103" s="190" t="str">
        <f>IF(OR(AND(L103="Muy Baja",AI103="Leve"),AND(L103="Muy Baja",AI103="Menor"),AND(L103="Baja",AI103="Leve")),"Bajo",IF(OR(AND(L103="Muy baja",AI103="Moderado"),AND(L103="Baja",AI103="Menor"),AND(L103="Baja",AI103="Moderado"),AND(L103="Media",AI103="Leve"),AND(L103="Media",AI103="Menor"),AND(L103="Media",AI103="Moderado"),AND(L103="Alta",AI103="Leve"),AND(L103="Alta",AI103="Menor")),"Moderado",IF(OR(AND(L103="Muy Baja",AI103="Mayor"),AND(L103="Baja",AI103="Mayor"),AND(L103="Media",AI103="Mayor"),AND(L103="Alta",AI103="Moderado"),AND(L103="Alta",AI103="Mayor"),AND(L103="Muy Alta",AI103="Leve"),AND(L103="Muy Alta",AI103="Menor"),AND(L103="Muy Alta",AI103="Moderado"),AND(L103="Muy Alta",AI103="Mayor")),"Alto",IF(OR(AND(L103="Muy Baja",AI103="Catastrófico"),AND(L103="Baja",AI103="Catastrófico"),AND(L103="Media",AI103="Catastrófico"),AND(L103="Alta",AI103="Catastrófico"),AND(L103="Muy Alta",AI103="Catastrófico")),"Extremo",""))))</f>
        <v>Alto</v>
      </c>
      <c r="AL103" s="127">
        <v>1</v>
      </c>
      <c r="AM103" s="127"/>
      <c r="AN103" s="127" t="e">
        <f>VLOOKUP(AM103,'Opciones Tratamiento'!$M$2:$O$37,3,FALSE)</f>
        <v>#N/A</v>
      </c>
      <c r="AO103" s="132" t="e">
        <f>VLOOKUP(AM103,'Opciones Tratamiento'!$M$2:$O$37,2,FALSE)</f>
        <v>#N/A</v>
      </c>
      <c r="AP103" s="132" t="s">
        <v>625</v>
      </c>
      <c r="AQ103" s="127" t="str">
        <f t="shared" ref="AQ103:AQ106" si="216">IF(OR(AR103="Preventivo",AR103="Detectivo"),"Probabilidad",IF(AR103="Correctivo","Impacto",""))</f>
        <v>Probabilidad</v>
      </c>
      <c r="AR103" s="134" t="s">
        <v>165</v>
      </c>
      <c r="AS103" s="134" t="s">
        <v>173</v>
      </c>
      <c r="AT103" s="135" t="str">
        <f t="shared" ref="AT103:AT106" si="217">IF(AND(AR103="Preventivo",AS103="Automático"),"50%",IF(AND(AR103="Preventivo",AS103="Manual"),"40%",IF(AND(AR103="Detectivo",AS103="Automático"),"40%",IF(AND(AR103="Detectivo",AS103="Manual"),"30%",IF(AND(AR103="Correctivo",AS103="Automático"),"35%",IF(AND(AR103="Correctivo",AS103="Manual"),"25%",""))))))</f>
        <v>40%</v>
      </c>
      <c r="AU103" s="134" t="s">
        <v>176</v>
      </c>
      <c r="AV103" s="134" t="s">
        <v>181</v>
      </c>
      <c r="AW103" s="134" t="s">
        <v>185</v>
      </c>
      <c r="AX103" s="136">
        <f>IFERROR(IF(AQ103="Probabilidad",(M103-(+M103*AT103)),IF(AQ103="Impacto",M103,"")),"")</f>
        <v>0.6</v>
      </c>
      <c r="AY103" s="137" t="str">
        <f t="shared" ref="AY103:AY106" si="218">IFERROR(IF(AX103="","",IF(AX103&lt;=0.2,"Muy Baja",IF(AX103&lt;=0.4,"Baja",IF(AX103&lt;=0.6,"Media",IF(AX103&lt;=0.8,"Alta","Muy Alta"))))),"")</f>
        <v>Media</v>
      </c>
      <c r="AZ103" s="135">
        <f t="shared" ref="AZ103:AZ106" si="219">+AX103</f>
        <v>0.6</v>
      </c>
      <c r="BA103" s="137" t="str">
        <f t="shared" ref="BA103:BA106" si="220">IFERROR(IF(BB103="","",IF(BB103&lt;=0.2,"Leve",IF(BB103&lt;=0.4,"Menor",IF(BB103&lt;=0.6,"Moderado",IF(BB103&lt;=0.8,"Mayor","Catastrófico"))))),"")</f>
        <v>Mayor</v>
      </c>
      <c r="BB103" s="135">
        <f>IFERROR(IF(AQ103="Impacto",(AJ103-(+AJ103*AT103)),IF(AQ103="Probabilidad",AJ103,"")),"")</f>
        <v>0.8</v>
      </c>
      <c r="BC103" s="138" t="str">
        <f t="shared" ref="BC103:BC106" si="221">IFERROR(IF(OR(AND(AY103="Muy Baja",BA103="Leve"),AND(AY103="Muy Baja",BA103="Menor"),AND(AY103="Baja",BA103="Leve")),"Bajo",IF(OR(AND(AY103="Muy baja",BA103="Moderado"),AND(AY103="Baja",BA103="Menor"),AND(AY103="Baja",BA103="Moderado"),AND(AY103="Media",BA103="Leve"),AND(AY103="Media",BA103="Menor"),AND(AY103="Media",BA103="Moderado"),AND(AY103="Alta",BA103="Leve"),AND(AY103="Alta",BA103="Menor")),"Moderado",IF(OR(AND(AY103="Muy Baja",BA103="Mayor"),AND(AY103="Baja",BA103="Mayor"),AND(AY103="Media",BA103="Mayor"),AND(AY103="Alta",BA103="Moderado"),AND(AY103="Alta",BA103="Mayor"),AND(AY103="Muy Alta",BA103="Leve"),AND(AY103="Muy Alta",BA103="Menor"),AND(AY103="Muy Alta",BA103="Moderado"),AND(AY103="Muy Alta",BA103="Mayor")),"Alto",IF(OR(AND(AY103="Muy Baja",BA103="Catastrófico"),AND(AY103="Baja",BA103="Catastrófico"),AND(AY103="Media",BA103="Catastrófico"),AND(AY103="Alta",BA103="Catastrófico"),AND(AY103="Muy Alta",BA103="Catastrófico")),"Extremo","")))),"")</f>
        <v>Alto</v>
      </c>
      <c r="BD103" s="134" t="s">
        <v>196</v>
      </c>
      <c r="BE103" s="120"/>
      <c r="BF103" s="127"/>
      <c r="BG103" s="139"/>
      <c r="BH103" s="139"/>
      <c r="BI103" s="120"/>
      <c r="BJ103" s="127"/>
      <c r="BK103" s="18"/>
      <c r="BL103" s="18"/>
      <c r="BM103" s="18"/>
      <c r="BN103" s="18"/>
      <c r="BO103" s="18"/>
      <c r="BP103" s="18"/>
      <c r="BQ103" s="18"/>
      <c r="BR103" s="18"/>
      <c r="BS103" s="18"/>
      <c r="BT103" s="18"/>
      <c r="BU103" s="18"/>
      <c r="BV103" s="18"/>
      <c r="BW103" s="18"/>
      <c r="BX103" s="18"/>
      <c r="BY103" s="18"/>
      <c r="BZ103" s="18"/>
      <c r="CA103" s="18"/>
      <c r="CB103" s="18"/>
      <c r="CC103" s="18"/>
      <c r="CD103" s="18"/>
    </row>
    <row r="104" spans="1:82" ht="65.45" customHeight="1" x14ac:dyDescent="0.3">
      <c r="A104" s="184"/>
      <c r="B104" s="184"/>
      <c r="C104" s="186"/>
      <c r="D104" s="186"/>
      <c r="E104" s="186"/>
      <c r="F104" s="186"/>
      <c r="G104" s="186"/>
      <c r="H104" s="186"/>
      <c r="I104" s="186"/>
      <c r="J104" s="186"/>
      <c r="K104" s="186"/>
      <c r="L104" s="186"/>
      <c r="M104" s="186"/>
      <c r="N104" s="186"/>
      <c r="O104" s="186"/>
      <c r="P104" s="130"/>
      <c r="Q104" s="130"/>
      <c r="R104" s="130"/>
      <c r="S104" s="130"/>
      <c r="T104" s="130"/>
      <c r="U104" s="140"/>
      <c r="V104" s="140"/>
      <c r="W104" s="140"/>
      <c r="X104" s="140"/>
      <c r="Y104" s="140"/>
      <c r="Z104" s="140"/>
      <c r="AA104" s="140"/>
      <c r="AB104" s="140"/>
      <c r="AC104" s="140"/>
      <c r="AD104" s="130"/>
      <c r="AE104" s="130"/>
      <c r="AF104" s="130"/>
      <c r="AG104" s="130"/>
      <c r="AH104" s="130"/>
      <c r="AI104" s="186"/>
      <c r="AJ104" s="186"/>
      <c r="AK104" s="186"/>
      <c r="AL104" s="127">
        <v>2</v>
      </c>
      <c r="AM104" s="127"/>
      <c r="AN104" s="127" t="e">
        <f>VLOOKUP(AM104,'Opciones Tratamiento'!$M$2:$O$37,3,FALSE)</f>
        <v>#N/A</v>
      </c>
      <c r="AO104" s="132" t="e">
        <f>VLOOKUP(AM104,'Opciones Tratamiento'!$M$2:$O$37,2,FALSE)</f>
        <v>#N/A</v>
      </c>
      <c r="AP104" s="132" t="s">
        <v>626</v>
      </c>
      <c r="AQ104" s="127" t="str">
        <f t="shared" si="216"/>
        <v>Probabilidad</v>
      </c>
      <c r="AR104" s="134" t="s">
        <v>165</v>
      </c>
      <c r="AS104" s="134" t="s">
        <v>173</v>
      </c>
      <c r="AT104" s="135" t="str">
        <f t="shared" si="217"/>
        <v>40%</v>
      </c>
      <c r="AU104" s="134" t="s">
        <v>176</v>
      </c>
      <c r="AV104" s="134" t="s">
        <v>181</v>
      </c>
      <c r="AW104" s="134" t="s">
        <v>185</v>
      </c>
      <c r="AX104" s="136">
        <f>IFERROR(IF(AND(AQ103="Probabilidad",AQ104="Probabilidad"),(AZ103-(+AZ103*AT104)),IF(AQ104="Probabilidad",(M103-(+M103*AT104)),IF(AQ104="Impacto",AZ103,""))),"")</f>
        <v>0.36</v>
      </c>
      <c r="AY104" s="137" t="str">
        <f t="shared" si="218"/>
        <v>Baja</v>
      </c>
      <c r="AZ104" s="135">
        <f t="shared" si="219"/>
        <v>0.36</v>
      </c>
      <c r="BA104" s="137" t="str">
        <f t="shared" si="220"/>
        <v>Mayor</v>
      </c>
      <c r="BB104" s="135">
        <v>0.8</v>
      </c>
      <c r="BC104" s="138" t="str">
        <f t="shared" si="221"/>
        <v>Alto</v>
      </c>
      <c r="BD104" s="134" t="s">
        <v>196</v>
      </c>
      <c r="BE104" s="120"/>
      <c r="BF104" s="127"/>
      <c r="BG104" s="139"/>
      <c r="BH104" s="139"/>
      <c r="BI104" s="120"/>
      <c r="BJ104" s="127"/>
      <c r="BK104" s="24"/>
      <c r="BL104" s="24"/>
      <c r="BM104" s="24"/>
      <c r="BN104" s="24"/>
      <c r="BO104" s="24"/>
      <c r="BP104" s="24"/>
      <c r="BQ104" s="24"/>
      <c r="BR104" s="24"/>
      <c r="BS104" s="24"/>
      <c r="BT104" s="24"/>
      <c r="BU104" s="24"/>
      <c r="BV104" s="24"/>
      <c r="BW104" s="24"/>
      <c r="BX104" s="24"/>
      <c r="BY104" s="24"/>
      <c r="BZ104" s="24"/>
      <c r="CA104" s="24"/>
      <c r="CB104" s="24"/>
      <c r="CC104" s="24"/>
      <c r="CD104" s="24"/>
    </row>
    <row r="105" spans="1:82" ht="65.45" customHeight="1" x14ac:dyDescent="0.3">
      <c r="A105" s="184"/>
      <c r="B105" s="184"/>
      <c r="C105" s="186"/>
      <c r="D105" s="186"/>
      <c r="E105" s="186"/>
      <c r="F105" s="186"/>
      <c r="G105" s="186"/>
      <c r="H105" s="186"/>
      <c r="I105" s="186"/>
      <c r="J105" s="186"/>
      <c r="K105" s="186"/>
      <c r="L105" s="186"/>
      <c r="M105" s="186"/>
      <c r="N105" s="186"/>
      <c r="O105" s="186"/>
      <c r="P105" s="130"/>
      <c r="Q105" s="130"/>
      <c r="R105" s="130"/>
      <c r="S105" s="130"/>
      <c r="T105" s="130"/>
      <c r="U105" s="140"/>
      <c r="V105" s="140"/>
      <c r="W105" s="140"/>
      <c r="X105" s="140"/>
      <c r="Y105" s="140"/>
      <c r="Z105" s="140"/>
      <c r="AA105" s="140"/>
      <c r="AB105" s="140"/>
      <c r="AC105" s="140"/>
      <c r="AD105" s="130"/>
      <c r="AE105" s="130"/>
      <c r="AF105" s="130"/>
      <c r="AG105" s="130"/>
      <c r="AH105" s="130"/>
      <c r="AI105" s="186"/>
      <c r="AJ105" s="186"/>
      <c r="AK105" s="186"/>
      <c r="AL105" s="127">
        <v>3</v>
      </c>
      <c r="AM105" s="127"/>
      <c r="AN105" s="127" t="e">
        <f>VLOOKUP(AM105,'Opciones Tratamiento'!$M$2:$O$37,3,FALSE)</f>
        <v>#N/A</v>
      </c>
      <c r="AO105" s="132" t="e">
        <f>VLOOKUP(AM105,'Opciones Tratamiento'!$M$2:$O$37,2,FALSE)</f>
        <v>#N/A</v>
      </c>
      <c r="AP105" s="132" t="s">
        <v>557</v>
      </c>
      <c r="AQ105" s="127" t="str">
        <f t="shared" si="216"/>
        <v>Probabilidad</v>
      </c>
      <c r="AR105" s="134" t="s">
        <v>165</v>
      </c>
      <c r="AS105" s="134" t="s">
        <v>173</v>
      </c>
      <c r="AT105" s="135" t="str">
        <f t="shared" si="217"/>
        <v>40%</v>
      </c>
      <c r="AU105" s="134" t="s">
        <v>176</v>
      </c>
      <c r="AV105" s="134" t="s">
        <v>181</v>
      </c>
      <c r="AW105" s="134" t="s">
        <v>185</v>
      </c>
      <c r="AX105" s="136">
        <f t="shared" ref="AX105:AX106" si="222">IFERROR(IF(AND(AQ104="Probabilidad",AQ105="Probabilidad"),(AZ104-(+AZ104*AT105)),IF(AND(AQ104="Impacto",AQ105="Probabilidad"),(AZ103-(+AZ103*AT105)),IF(AQ105="Impacto",AZ104,""))),"")</f>
        <v>0.216</v>
      </c>
      <c r="AY105" s="137" t="str">
        <f t="shared" si="218"/>
        <v>Baja</v>
      </c>
      <c r="AZ105" s="135">
        <f t="shared" si="219"/>
        <v>0.216</v>
      </c>
      <c r="BA105" s="137" t="str">
        <f t="shared" si="220"/>
        <v>Mayor</v>
      </c>
      <c r="BB105" s="135">
        <f t="shared" ref="BB105:BB106" si="223">IFERROR(IF(AND(AQ104="Impacto",AQ105="Impacto"),(BB104-(+BB104*AT105)),IF(AND(AQ104="Probabilidad",AQ105="Impacto"),(BB103-(+BB103*AT105)),IF(AQ105="Probabilidad",BB104,""))),"")</f>
        <v>0.8</v>
      </c>
      <c r="BC105" s="138" t="str">
        <f t="shared" si="221"/>
        <v>Alto</v>
      </c>
      <c r="BD105" s="134" t="s">
        <v>196</v>
      </c>
      <c r="BE105" s="120"/>
      <c r="BF105" s="127"/>
      <c r="BG105" s="139"/>
      <c r="BH105" s="139"/>
      <c r="BI105" s="120"/>
      <c r="BJ105" s="127"/>
      <c r="BK105" s="24"/>
      <c r="BL105" s="24"/>
      <c r="BM105" s="24"/>
      <c r="BN105" s="24"/>
      <c r="BO105" s="24"/>
      <c r="BP105" s="24"/>
      <c r="BQ105" s="24"/>
      <c r="BR105" s="24"/>
      <c r="BS105" s="24"/>
      <c r="BT105" s="24"/>
      <c r="BU105" s="24"/>
      <c r="BV105" s="24"/>
      <c r="BW105" s="24"/>
      <c r="BX105" s="24"/>
      <c r="BY105" s="24"/>
      <c r="BZ105" s="24"/>
      <c r="CA105" s="24"/>
      <c r="CB105" s="24"/>
      <c r="CC105" s="24"/>
      <c r="CD105" s="24"/>
    </row>
    <row r="106" spans="1:82" ht="65.45" customHeight="1" x14ac:dyDescent="0.3">
      <c r="A106" s="184"/>
      <c r="B106" s="184"/>
      <c r="C106" s="186"/>
      <c r="D106" s="186"/>
      <c r="E106" s="186"/>
      <c r="F106" s="186"/>
      <c r="G106" s="186"/>
      <c r="H106" s="186"/>
      <c r="I106" s="186"/>
      <c r="J106" s="186"/>
      <c r="K106" s="186"/>
      <c r="L106" s="186"/>
      <c r="M106" s="186"/>
      <c r="N106" s="186"/>
      <c r="O106" s="186"/>
      <c r="P106" s="130"/>
      <c r="Q106" s="130"/>
      <c r="R106" s="130"/>
      <c r="S106" s="130"/>
      <c r="T106" s="130"/>
      <c r="U106" s="140"/>
      <c r="V106" s="140"/>
      <c r="W106" s="140"/>
      <c r="X106" s="140"/>
      <c r="Y106" s="140"/>
      <c r="Z106" s="140"/>
      <c r="AA106" s="140"/>
      <c r="AB106" s="140"/>
      <c r="AC106" s="140"/>
      <c r="AD106" s="130"/>
      <c r="AE106" s="130"/>
      <c r="AF106" s="130"/>
      <c r="AG106" s="130"/>
      <c r="AH106" s="130"/>
      <c r="AI106" s="186"/>
      <c r="AJ106" s="186"/>
      <c r="AK106" s="186"/>
      <c r="AL106" s="127">
        <v>4</v>
      </c>
      <c r="AM106" s="127"/>
      <c r="AN106" s="127" t="e">
        <f>VLOOKUP(AM106,'Opciones Tratamiento'!$M$2:$O$37,3,FALSE)</f>
        <v>#N/A</v>
      </c>
      <c r="AO106" s="132" t="e">
        <f>VLOOKUP(AM106,'Opciones Tratamiento'!$M$2:$O$37,2,FALSE)</f>
        <v>#N/A</v>
      </c>
      <c r="AP106" s="132" t="s">
        <v>558</v>
      </c>
      <c r="AQ106" s="127" t="str">
        <f t="shared" si="216"/>
        <v>Impacto</v>
      </c>
      <c r="AR106" s="134" t="s">
        <v>169</v>
      </c>
      <c r="AS106" s="134" t="s">
        <v>173</v>
      </c>
      <c r="AT106" s="135" t="str">
        <f t="shared" si="217"/>
        <v>25%</v>
      </c>
      <c r="AU106" s="134" t="s">
        <v>176</v>
      </c>
      <c r="AV106" s="134" t="s">
        <v>181</v>
      </c>
      <c r="AW106" s="134" t="s">
        <v>185</v>
      </c>
      <c r="AX106" s="136">
        <f t="shared" si="222"/>
        <v>0.216</v>
      </c>
      <c r="AY106" s="137" t="str">
        <f t="shared" si="218"/>
        <v>Baja</v>
      </c>
      <c r="AZ106" s="135">
        <f t="shared" si="219"/>
        <v>0.216</v>
      </c>
      <c r="BA106" s="137" t="str">
        <f t="shared" si="220"/>
        <v>Moderado</v>
      </c>
      <c r="BB106" s="135">
        <f t="shared" si="223"/>
        <v>0.60000000000000009</v>
      </c>
      <c r="BC106" s="138" t="str">
        <f t="shared" si="221"/>
        <v>Moderado</v>
      </c>
      <c r="BD106" s="134" t="s">
        <v>190</v>
      </c>
      <c r="BE106" s="120"/>
      <c r="BF106" s="127"/>
      <c r="BG106" s="139"/>
      <c r="BH106" s="139"/>
      <c r="BI106" s="120"/>
      <c r="BJ106" s="127"/>
      <c r="BK106" s="24"/>
      <c r="BL106" s="24"/>
      <c r="BM106" s="24"/>
      <c r="BN106" s="24"/>
      <c r="BO106" s="24"/>
      <c r="BP106" s="24"/>
      <c r="BQ106" s="24"/>
      <c r="BR106" s="24"/>
      <c r="BS106" s="24"/>
      <c r="BT106" s="24"/>
      <c r="BU106" s="24"/>
      <c r="BV106" s="24"/>
      <c r="BW106" s="24"/>
      <c r="BX106" s="24"/>
      <c r="BY106" s="24"/>
      <c r="BZ106" s="24"/>
      <c r="CA106" s="24"/>
      <c r="CB106" s="24"/>
      <c r="CC106" s="24"/>
      <c r="CD106" s="24"/>
    </row>
    <row r="107" spans="1:82" ht="87.6" customHeight="1" x14ac:dyDescent="0.3">
      <c r="A107" s="183">
        <v>42</v>
      </c>
      <c r="B107" s="183" t="s">
        <v>552</v>
      </c>
      <c r="C107" s="183" t="s">
        <v>195</v>
      </c>
      <c r="D107" s="183" t="s">
        <v>217</v>
      </c>
      <c r="E107" s="183"/>
      <c r="F107" s="191" t="s">
        <v>628</v>
      </c>
      <c r="G107" s="183" t="s">
        <v>629</v>
      </c>
      <c r="H107" s="183" t="str">
        <f>_xlfn.CONCAT("Posibilidad de afectación ",IF(C107='Opciones Tratamiento'!$E$2,"económica",IF(C107='Opciones Tratamiento'!$E$4,"económica y reputacional",LOWER(C107)))," por ",LOWER(F107), ", debido a ",LOWER(G107))</f>
        <v>Posibilidad de afectación económica y reputacional por furga o perdida del conocimiento por siutaciones adminitrativas del talento humano, debido a reubicacioones, licencias extendidas ,vacaciones, salida de colaboradores por cumplir edad de pensión, concurso de la cnsc</v>
      </c>
      <c r="I107" s="183" t="s">
        <v>206</v>
      </c>
      <c r="J107" s="185" t="s">
        <v>230</v>
      </c>
      <c r="K107" s="185" t="s">
        <v>257</v>
      </c>
      <c r="L107" s="187" t="str">
        <f>IF(OR(K107='Opciones Tratamiento'!$K$14,K107='Opciones Tratamiento'!$K$15,K107='Opciones Tratamiento'!$K$16),"Muy Baja",IF(OR(K107='Opciones Tratamiento'!$K$10,K107='Opciones Tratamiento'!$K$11,K107='Opciones Tratamiento'!$K$12,K107='Opciones Tratamiento'!$K$13),"Baja",IF(OR(K107='Opciones Tratamiento'!$K$4,K107='Opciones Tratamiento'!$K$5,K107='Opciones Tratamiento'!$K$6,K107='Opciones Tratamiento'!$K$7,K107='Opciones Tratamiento'!$K$8,K107='Opciones Tratamiento'!$K$9),"Media",IF(K107='Opciones Tratamiento'!$K$3,"Alta",IF(OR(K107='Opciones Tratamiento'!$K$2,K107='Opciones Tratamiento'!$K$17),"Muy Alta")))))</f>
        <v>Muy Alta</v>
      </c>
      <c r="M107" s="188">
        <f>IF(L107="","",IF(L107="Muy Baja",0.2,IF(L107="Baja",0.4,IF(L107="Media",0.6,IF(L107="Alta",0.8,IF(L107="Muy Alta",1,))))))</f>
        <v>1</v>
      </c>
      <c r="N107" s="188" t="s">
        <v>151</v>
      </c>
      <c r="O107" s="188" t="str">
        <f ca="1">IF(NOT(ISERROR(MATCH(N107,'Tabla Impacto'!$B$221:$B$223,0))),'Tabla Impacto'!$F$223&amp;"Por favor no seleccionar los criterios de impacto(Afectación Económica o presupuestal y Pérdida Reputacional)",N107)</f>
        <v xml:space="preserve">     El riesgo afecta la imagen de de la entidad con efecto publicitario sostenido a nivel de sector administrativo, nivel departamental o municipal</v>
      </c>
      <c r="P107" s="130"/>
      <c r="Q107" s="130"/>
      <c r="R107" s="130"/>
      <c r="S107" s="130"/>
      <c r="T107" s="130"/>
      <c r="U107" s="140"/>
      <c r="V107" s="140"/>
      <c r="W107" s="140"/>
      <c r="X107" s="140"/>
      <c r="Y107" s="140"/>
      <c r="Z107" s="140"/>
      <c r="AA107" s="140"/>
      <c r="AB107" s="140"/>
      <c r="AC107" s="140"/>
      <c r="AD107" s="130"/>
      <c r="AE107" s="130"/>
      <c r="AF107" s="130"/>
      <c r="AG107" s="130"/>
      <c r="AH107" s="130"/>
      <c r="AI107" s="187" t="str">
        <f ca="1">IF(OR(D107='Opciones Tratamiento'!$H$2,D107='Opciones Tratamiento'!$H$4),IF(OR(O107='Tabla Impacto'!$C$11,O107='Tabla Impacto'!$D$11),"Leve",IF(OR(O107='Tabla Impacto'!$C$12,O107='Tabla Impacto'!$D$12),"Menor",IF(OR(O107='Tabla Impacto'!$C$13,O107='Tabla Impacto'!$D$13),"Moderado",IF(OR(O107='Tabla Impacto'!$C$14,O107='Tabla Impacto'!$D$14),"Mayor",IF(OR(O107='Tabla Impacto'!$C$15,O107='Tabla Impacto'!$D$15),"Catastrófico",""))))),IF(D107='Opciones Tratamiento'!$H$3,IF(COUNTIF('Mapa final'!P107:AH107,"Si")&lt;=5,"Moderado",IF(AND(COUNTIF('Mapa final'!P107:AH107,"Si")&gt;5,COUNTIF('Mapa final'!P107:AH107,"Si")&lt;=10),"Mayor",IF(COUNTIF('Mapa final'!P107:AH107,"Si")&gt;10,"Catastrófico","")))))</f>
        <v>Mayor</v>
      </c>
      <c r="AJ107" s="188">
        <f ca="1">IF(AI107="","",IF(AI107="Leve",0.2,IF(AI107="Menor",0.4,IF(AI107="Moderado",0.6,IF(AI107="Mayor",0.8,IF(AI107="Catastrófico",1,))))))</f>
        <v>0.8</v>
      </c>
      <c r="AK107" s="190" t="str">
        <f ca="1">IF(OR(AND(L107="Muy Baja",AI107="Leve"),AND(L107="Muy Baja",AI107="Menor"),AND(L107="Baja",AI107="Leve")),"Bajo",IF(OR(AND(L107="Muy baja",AI107="Moderado"),AND(L107="Baja",AI107="Menor"),AND(L107="Baja",AI107="Moderado"),AND(L107="Media",AI107="Leve"),AND(L107="Media",AI107="Menor"),AND(L107="Media",AI107="Moderado"),AND(L107="Alta",AI107="Leve"),AND(L107="Alta",AI107="Menor")),"Moderado",IF(OR(AND(L107="Muy Baja",AI107="Mayor"),AND(L107="Baja",AI107="Mayor"),AND(L107="Media",AI107="Mayor"),AND(L107="Alta",AI107="Moderado"),AND(L107="Alta",AI107="Mayor"),AND(L107="Muy Alta",AI107="Leve"),AND(L107="Muy Alta",AI107="Menor"),AND(L107="Muy Alta",AI107="Moderado"),AND(L107="Muy Alta",AI107="Mayor")),"Alto",IF(OR(AND(L107="Muy Baja",AI107="Catastrófico"),AND(L107="Baja",AI107="Catastrófico"),AND(L107="Media",AI107="Catastrófico"),AND(L107="Alta",AI107="Catastrófico"),AND(L107="Muy Alta",AI107="Catastrófico")),"Extremo",""))))</f>
        <v>Alto</v>
      </c>
      <c r="AL107" s="127">
        <v>1</v>
      </c>
      <c r="AM107" s="127"/>
      <c r="AN107" s="127" t="e">
        <f>VLOOKUP(AM107,'Opciones Tratamiento'!$M$2:$O$37,3,FALSE)</f>
        <v>#N/A</v>
      </c>
      <c r="AO107" s="132" t="e">
        <f>VLOOKUP(AM107,'Opciones Tratamiento'!$M$2:$O$37,2,FALSE)</f>
        <v>#N/A</v>
      </c>
      <c r="AP107" s="132" t="s">
        <v>559</v>
      </c>
      <c r="AQ107" s="127" t="str">
        <f t="shared" ref="AQ107:AQ109" si="224">IF(OR(AR107="Preventivo",AR107="Detectivo"),"Probabilidad",IF(AR107="Correctivo","Impacto",""))</f>
        <v>Probabilidad</v>
      </c>
      <c r="AR107" s="134" t="s">
        <v>165</v>
      </c>
      <c r="AS107" s="134" t="s">
        <v>173</v>
      </c>
      <c r="AT107" s="135" t="str">
        <f t="shared" ref="AT107:AT109" si="225">IF(AND(AR107="Preventivo",AS107="Automático"),"50%",IF(AND(AR107="Preventivo",AS107="Manual"),"40%",IF(AND(AR107="Detectivo",AS107="Automático"),"40%",IF(AND(AR107="Detectivo",AS107="Manual"),"30%",IF(AND(AR107="Correctivo",AS107="Automático"),"35%",IF(AND(AR107="Correctivo",AS107="Manual"),"25%",""))))))</f>
        <v>40%</v>
      </c>
      <c r="AU107" s="134" t="s">
        <v>176</v>
      </c>
      <c r="AV107" s="134" t="s">
        <v>181</v>
      </c>
      <c r="AW107" s="134" t="s">
        <v>185</v>
      </c>
      <c r="AX107" s="136">
        <f>IFERROR(IF(AQ107="Probabilidad",(M107-(+M107*AT107)),IF(AQ107="Impacto",M107,"")),"")</f>
        <v>0.6</v>
      </c>
      <c r="AY107" s="137" t="str">
        <f t="shared" ref="AY107:AY109" si="226">IFERROR(IF(AX107="","",IF(AX107&lt;=0.2,"Muy Baja",IF(AX107&lt;=0.4,"Baja",IF(AX107&lt;=0.6,"Media",IF(AX107&lt;=0.8,"Alta","Muy Alta"))))),"")</f>
        <v>Media</v>
      </c>
      <c r="AZ107" s="135">
        <f t="shared" ref="AZ107:AZ109" si="227">+AX107</f>
        <v>0.6</v>
      </c>
      <c r="BA107" s="137" t="str">
        <f t="shared" ref="BA107:BA109" ca="1" si="228">IFERROR(IF(BB107="","",IF(BB107&lt;=0.2,"Leve",IF(BB107&lt;=0.4,"Menor",IF(BB107&lt;=0.6,"Moderado",IF(BB107&lt;=0.8,"Mayor","Catastrófico"))))),"")</f>
        <v>Mayor</v>
      </c>
      <c r="BB107" s="135">
        <f ca="1">IFERROR(IF(AQ107="Impacto",(AJ107-(+AJ107*AT107)),IF(AQ107="Probabilidad",AJ107,"")),"")</f>
        <v>0.8</v>
      </c>
      <c r="BC107" s="138" t="str">
        <f t="shared" ref="BC107:BC109" ca="1" si="229">IFERROR(IF(OR(AND(AY107="Muy Baja",BA107="Leve"),AND(AY107="Muy Baja",BA107="Menor"),AND(AY107="Baja",BA107="Leve")),"Bajo",IF(OR(AND(AY107="Muy baja",BA107="Moderado"),AND(AY107="Baja",BA107="Menor"),AND(AY107="Baja",BA107="Moderado"),AND(AY107="Media",BA107="Leve"),AND(AY107="Media",BA107="Menor"),AND(AY107="Media",BA107="Moderado"),AND(AY107="Alta",BA107="Leve"),AND(AY107="Alta",BA107="Menor")),"Moderado",IF(OR(AND(AY107="Muy Baja",BA107="Mayor"),AND(AY107="Baja",BA107="Mayor"),AND(AY107="Media",BA107="Mayor"),AND(AY107="Alta",BA107="Moderado"),AND(AY107="Alta",BA107="Mayor"),AND(AY107="Muy Alta",BA107="Leve"),AND(AY107="Muy Alta",BA107="Menor"),AND(AY107="Muy Alta",BA107="Moderado"),AND(AY107="Muy Alta",BA107="Mayor")),"Alto",IF(OR(AND(AY107="Muy Baja",BA107="Catastrófico"),AND(AY107="Baja",BA107="Catastrófico"),AND(AY107="Media",BA107="Catastrófico"),AND(AY107="Alta",BA107="Catastrófico"),AND(AY107="Muy Alta",BA107="Catastrófico")),"Extremo","")))),"")</f>
        <v>Alto</v>
      </c>
      <c r="BD107" s="134" t="s">
        <v>196</v>
      </c>
      <c r="BE107" s="120"/>
      <c r="BF107" s="127"/>
      <c r="BG107" s="139"/>
      <c r="BH107" s="139"/>
      <c r="BI107" s="120"/>
      <c r="BJ107" s="127"/>
      <c r="BK107" s="18"/>
      <c r="BL107" s="18"/>
      <c r="BM107" s="18"/>
      <c r="BN107" s="18"/>
      <c r="BO107" s="18"/>
      <c r="BP107" s="18"/>
      <c r="BQ107" s="18"/>
      <c r="BR107" s="18"/>
      <c r="BS107" s="18"/>
      <c r="BT107" s="18"/>
      <c r="BU107" s="18"/>
      <c r="BV107" s="18"/>
      <c r="BW107" s="18"/>
      <c r="BX107" s="18"/>
      <c r="BY107" s="18"/>
      <c r="BZ107" s="18"/>
      <c r="CA107" s="18"/>
      <c r="CB107" s="18"/>
      <c r="CC107" s="18"/>
      <c r="CD107" s="18"/>
    </row>
    <row r="108" spans="1:82" ht="87.6" customHeight="1" x14ac:dyDescent="0.3">
      <c r="A108" s="184"/>
      <c r="B108" s="184"/>
      <c r="C108" s="186"/>
      <c r="D108" s="186"/>
      <c r="E108" s="186"/>
      <c r="F108" s="192"/>
      <c r="G108" s="186"/>
      <c r="H108" s="186"/>
      <c r="I108" s="186"/>
      <c r="J108" s="186"/>
      <c r="K108" s="186"/>
      <c r="L108" s="186"/>
      <c r="M108" s="186"/>
      <c r="N108" s="186"/>
      <c r="O108" s="186"/>
      <c r="P108" s="130"/>
      <c r="Q108" s="130"/>
      <c r="R108" s="130"/>
      <c r="S108" s="130"/>
      <c r="T108" s="130"/>
      <c r="U108" s="140"/>
      <c r="V108" s="140"/>
      <c r="W108" s="140"/>
      <c r="X108" s="140"/>
      <c r="Y108" s="140"/>
      <c r="Z108" s="140"/>
      <c r="AA108" s="140"/>
      <c r="AB108" s="140"/>
      <c r="AC108" s="140"/>
      <c r="AD108" s="130"/>
      <c r="AE108" s="130"/>
      <c r="AF108" s="130"/>
      <c r="AG108" s="130"/>
      <c r="AH108" s="130"/>
      <c r="AI108" s="186"/>
      <c r="AJ108" s="186"/>
      <c r="AK108" s="186"/>
      <c r="AL108" s="127">
        <v>2</v>
      </c>
      <c r="AM108" s="127"/>
      <c r="AN108" s="127" t="e">
        <f>VLOOKUP(AM108,'Opciones Tratamiento'!$M$2:$O$37,3,FALSE)</f>
        <v>#N/A</v>
      </c>
      <c r="AO108" s="132" t="e">
        <f>VLOOKUP(AM108,'Opciones Tratamiento'!$M$2:$O$37,2,FALSE)</f>
        <v>#N/A</v>
      </c>
      <c r="AP108" s="144" t="s">
        <v>630</v>
      </c>
      <c r="AQ108" s="127" t="str">
        <f t="shared" si="224"/>
        <v>Probabilidad</v>
      </c>
      <c r="AR108" s="134" t="s">
        <v>165</v>
      </c>
      <c r="AS108" s="134" t="s">
        <v>173</v>
      </c>
      <c r="AT108" s="135" t="str">
        <f t="shared" si="225"/>
        <v>40%</v>
      </c>
      <c r="AU108" s="134" t="s">
        <v>176</v>
      </c>
      <c r="AV108" s="134" t="s">
        <v>181</v>
      </c>
      <c r="AW108" s="134" t="s">
        <v>185</v>
      </c>
      <c r="AX108" s="136">
        <f>IFERROR(IF(AND(AQ107="Probabilidad",AQ108="Probabilidad"),(AZ107-(+AZ107*AT108)),IF(AQ108="Probabilidad",(M107-(+M107*AT108)),IF(AQ108="Impacto",AZ107,""))),"")</f>
        <v>0.36</v>
      </c>
      <c r="AY108" s="137" t="str">
        <f t="shared" si="226"/>
        <v>Baja</v>
      </c>
      <c r="AZ108" s="135">
        <f t="shared" si="227"/>
        <v>0.36</v>
      </c>
      <c r="BA108" s="137" t="str">
        <f t="shared" si="228"/>
        <v>Mayor</v>
      </c>
      <c r="BB108" s="135">
        <f>IFERROR(IF(AND(AQ107="Impacto",AQ108="Impacto"),(BB103-(+BB103*AT108)),IF(AQ108="Impacto",($AJ$25-(+$AJ$25*AT108)),IF(AQ108="Probabilidad",BB103,""))),"")</f>
        <v>0.8</v>
      </c>
      <c r="BC108" s="138" t="str">
        <f t="shared" si="229"/>
        <v>Alto</v>
      </c>
      <c r="BD108" s="134" t="s">
        <v>196</v>
      </c>
      <c r="BE108" s="120"/>
      <c r="BF108" s="127"/>
      <c r="BG108" s="139"/>
      <c r="BH108" s="139"/>
      <c r="BI108" s="120"/>
      <c r="BJ108" s="127"/>
      <c r="BK108" s="24"/>
      <c r="BL108" s="24"/>
      <c r="BM108" s="24"/>
      <c r="BN108" s="24"/>
      <c r="BO108" s="24"/>
      <c r="BP108" s="24"/>
      <c r="BQ108" s="24"/>
      <c r="BR108" s="24"/>
      <c r="BS108" s="24"/>
      <c r="BT108" s="24"/>
      <c r="BU108" s="24"/>
      <c r="BV108" s="24"/>
      <c r="BW108" s="24"/>
      <c r="BX108" s="24"/>
      <c r="BY108" s="24"/>
      <c r="BZ108" s="24"/>
      <c r="CA108" s="24"/>
      <c r="CB108" s="24"/>
      <c r="CC108" s="24"/>
      <c r="CD108" s="24"/>
    </row>
    <row r="109" spans="1:82" ht="87.6" customHeight="1" x14ac:dyDescent="0.3">
      <c r="A109" s="184"/>
      <c r="B109" s="184"/>
      <c r="C109" s="186"/>
      <c r="D109" s="186"/>
      <c r="E109" s="186"/>
      <c r="F109" s="192"/>
      <c r="G109" s="186"/>
      <c r="H109" s="186"/>
      <c r="I109" s="186"/>
      <c r="J109" s="186"/>
      <c r="K109" s="186"/>
      <c r="L109" s="186"/>
      <c r="M109" s="186"/>
      <c r="N109" s="186"/>
      <c r="O109" s="186"/>
      <c r="P109" s="130"/>
      <c r="Q109" s="130"/>
      <c r="R109" s="130"/>
      <c r="S109" s="130"/>
      <c r="T109" s="130"/>
      <c r="U109" s="140"/>
      <c r="V109" s="140"/>
      <c r="W109" s="140"/>
      <c r="X109" s="140"/>
      <c r="Y109" s="140"/>
      <c r="Z109" s="140"/>
      <c r="AA109" s="140"/>
      <c r="AB109" s="140"/>
      <c r="AC109" s="140"/>
      <c r="AD109" s="130"/>
      <c r="AE109" s="130"/>
      <c r="AF109" s="130"/>
      <c r="AG109" s="130"/>
      <c r="AH109" s="130"/>
      <c r="AI109" s="186"/>
      <c r="AJ109" s="186"/>
      <c r="AK109" s="186"/>
      <c r="AL109" s="127">
        <v>3</v>
      </c>
      <c r="AM109" s="127"/>
      <c r="AN109" s="127" t="e">
        <f>VLOOKUP(AM109,'Opciones Tratamiento'!$M$2:$O$37,3,FALSE)</f>
        <v>#N/A</v>
      </c>
      <c r="AO109" s="132" t="e">
        <f>VLOOKUP(AM109,'Opciones Tratamiento'!$M$2:$O$37,2,FALSE)</f>
        <v>#N/A</v>
      </c>
      <c r="AP109" s="144" t="s">
        <v>560</v>
      </c>
      <c r="AQ109" s="127" t="str">
        <f t="shared" si="224"/>
        <v>Impacto</v>
      </c>
      <c r="AR109" s="134" t="s">
        <v>169</v>
      </c>
      <c r="AS109" s="134" t="s">
        <v>173</v>
      </c>
      <c r="AT109" s="135" t="str">
        <f t="shared" si="225"/>
        <v>25%</v>
      </c>
      <c r="AU109" s="134" t="s">
        <v>176</v>
      </c>
      <c r="AV109" s="134" t="s">
        <v>181</v>
      </c>
      <c r="AW109" s="134" t="s">
        <v>185</v>
      </c>
      <c r="AX109" s="136">
        <f t="shared" ref="AX109" si="230">IFERROR(IF(AND(AQ108="Probabilidad",AQ109="Probabilidad"),(AZ108-(+AZ108*AT109)),IF(AND(AQ108="Impacto",AQ109="Probabilidad"),(AZ107-(+AZ107*AT109)),IF(AQ109="Impacto",AZ108,""))),"")</f>
        <v>0.36</v>
      </c>
      <c r="AY109" s="137" t="str">
        <f t="shared" si="226"/>
        <v>Baja</v>
      </c>
      <c r="AZ109" s="135">
        <f t="shared" si="227"/>
        <v>0.36</v>
      </c>
      <c r="BA109" s="137" t="str">
        <f t="shared" ca="1" si="228"/>
        <v>Moderado</v>
      </c>
      <c r="BB109" s="135">
        <f t="shared" ref="BB109" ca="1" si="231">IFERROR(IF(AND(AQ108="Impacto",AQ109="Impacto"),(BB108-(+BB108*AT109)),IF(AND(AQ108="Probabilidad",AQ109="Impacto"),(BB107-(+BB107*AT109)),IF(AQ109="Probabilidad",BB108,""))),"")</f>
        <v>0.60000000000000009</v>
      </c>
      <c r="BC109" s="138" t="str">
        <f t="shared" ca="1" si="229"/>
        <v>Moderado</v>
      </c>
      <c r="BD109" s="134" t="s">
        <v>190</v>
      </c>
      <c r="BE109" s="120"/>
      <c r="BF109" s="127"/>
      <c r="BG109" s="139"/>
      <c r="BH109" s="139"/>
      <c r="BI109" s="120"/>
      <c r="BJ109" s="127"/>
      <c r="BK109" s="24"/>
      <c r="BL109" s="24"/>
      <c r="BM109" s="24"/>
      <c r="BN109" s="24"/>
      <c r="BO109" s="24"/>
      <c r="BP109" s="24"/>
      <c r="BQ109" s="24"/>
      <c r="BR109" s="24"/>
      <c r="BS109" s="24"/>
      <c r="BT109" s="24"/>
      <c r="BU109" s="24"/>
      <c r="BV109" s="24"/>
      <c r="BW109" s="24"/>
      <c r="BX109" s="24"/>
      <c r="BY109" s="24"/>
      <c r="BZ109" s="24"/>
      <c r="CA109" s="24"/>
      <c r="CB109" s="24"/>
      <c r="CC109" s="24"/>
      <c r="CD109" s="24"/>
    </row>
    <row r="110" spans="1:82" ht="91.5" customHeight="1" x14ac:dyDescent="0.3">
      <c r="A110" s="183">
        <v>43</v>
      </c>
      <c r="B110" s="183" t="s">
        <v>552</v>
      </c>
      <c r="C110" s="183" t="s">
        <v>191</v>
      </c>
      <c r="D110" s="183" t="s">
        <v>217</v>
      </c>
      <c r="E110" s="183"/>
      <c r="F110" s="183" t="s">
        <v>561</v>
      </c>
      <c r="G110" s="183" t="s">
        <v>562</v>
      </c>
      <c r="H110" s="183" t="str">
        <f>_xlfn.CONCAT("Posibilidad de afectación ",IF(C110='Opciones Tratamiento'!$E$2,"económica",IF(C110='Opciones Tratamiento'!$E$4,"económica y reputacional",LOWER(C110)))," por ",LOWER(F110), ", debido a ",LOWER(G110))</f>
        <v>Posibilidad de afectación económica por liquidación de nómina con errores en su cálculo y/o de manera extemporánea  , debido a  fallas en parametrización, configuración  y funcionamiento del sistema que liquida la nómina.
errores humanos en la liquidación de nómina
indisponibilidad del sistema que liquida la nómina</v>
      </c>
      <c r="I110" s="183" t="s">
        <v>420</v>
      </c>
      <c r="J110" s="185" t="s">
        <v>231</v>
      </c>
      <c r="K110" s="185" t="s">
        <v>248</v>
      </c>
      <c r="L110" s="187" t="str">
        <f>IF(OR(K110='Opciones Tratamiento'!$K$14,K110='Opciones Tratamiento'!$K$15,K110='Opciones Tratamiento'!$K$16),"Muy Baja",IF(OR(K110='Opciones Tratamiento'!$K$10,K110='Opciones Tratamiento'!$K$11,K110='Opciones Tratamiento'!$K$12,K110='Opciones Tratamiento'!$K$13),"Baja",IF(OR(K110='Opciones Tratamiento'!$K$4,K110='Opciones Tratamiento'!$K$5,K110='Opciones Tratamiento'!$K$6,K110='Opciones Tratamiento'!$K$7,K110='Opciones Tratamiento'!$K$8,K110='Opciones Tratamiento'!$K$9),"Media",IF(K110='Opciones Tratamiento'!$K$3,"Alta",IF(OR(K110='Opciones Tratamiento'!$K$2,K110='Opciones Tratamiento'!$K$17),"Muy Alta")))))</f>
        <v>Baja</v>
      </c>
      <c r="M110" s="188">
        <f>IF(L110="","",IF(L110="Muy Baja",0.2,IF(L110="Baja",0.4,IF(L110="Media",0.6,IF(L110="Alta",0.8,IF(L110="Muy Alta",1,))))))</f>
        <v>0.4</v>
      </c>
      <c r="N110" s="188" t="s">
        <v>146</v>
      </c>
      <c r="O110" s="188" t="str">
        <f ca="1">IF(NOT(ISERROR(MATCH(N110,'Tabla Impacto'!$B$221:$B$223,0))),'Tabla Impacto'!$F$223&amp;"Por favor no seleccionar los criterios de impacto(Afectación Económica o presupuestal y Pérdida Reputacional)",N110)</f>
        <v xml:space="preserve">     Entre 10 y 50 SMLMV </v>
      </c>
      <c r="P110" s="130"/>
      <c r="Q110" s="130"/>
      <c r="R110" s="130"/>
      <c r="S110" s="130"/>
      <c r="T110" s="130"/>
      <c r="U110" s="140"/>
      <c r="V110" s="140"/>
      <c r="W110" s="140"/>
      <c r="X110" s="140"/>
      <c r="Y110" s="140"/>
      <c r="Z110" s="140"/>
      <c r="AA110" s="140"/>
      <c r="AB110" s="140"/>
      <c r="AC110" s="140"/>
      <c r="AD110" s="130"/>
      <c r="AE110" s="130"/>
      <c r="AF110" s="130"/>
      <c r="AG110" s="130"/>
      <c r="AH110" s="130"/>
      <c r="AI110" s="187" t="str">
        <f ca="1">IF(OR(D110='Opciones Tratamiento'!$H$2,D110='Opciones Tratamiento'!$H$4),IF(OR(O110='Tabla Impacto'!$C$11,O110='Tabla Impacto'!$D$11),"Leve",IF(OR(O110='Tabla Impacto'!$C$12,O110='Tabla Impacto'!$D$12),"Menor",IF(OR(O110='Tabla Impacto'!$C$13,O110='Tabla Impacto'!$D$13),"Moderado",IF(OR(O110='Tabla Impacto'!$C$14,O110='Tabla Impacto'!$D$14),"Mayor",IF(OR(O110='Tabla Impacto'!$C$15,O110='Tabla Impacto'!$D$15),"Catastrófico",""))))),IF(D110='Opciones Tratamiento'!$H$3,IF(COUNTIF('Mapa final'!P110:AH110,"Si")&lt;=5,"Moderado",IF(AND(COUNTIF('Mapa final'!P110:AH110,"Si")&gt;5,COUNTIF('Mapa final'!P110:AH110,"Si")&lt;=10),"Mayor",IF(COUNTIF('Mapa final'!P110:AH110,"Si")&gt;10,"Catastrófico","")))))</f>
        <v>Menor</v>
      </c>
      <c r="AJ110" s="188">
        <f ca="1">IF(AI110="","",IF(AI110="Leve",0.2,IF(AI110="Menor",0.4,IF(AI110="Moderado",0.6,IF(AI110="Mayor",0.8,IF(AI110="Catastrófico",1,))))))</f>
        <v>0.4</v>
      </c>
      <c r="AK110" s="190" t="str">
        <f ca="1">IF(OR(AND(L110="Muy Baja",AI110="Leve"),AND(L110="Muy Baja",AI110="Menor"),AND(L110="Baja",AI110="Leve")),"Bajo",IF(OR(AND(L110="Muy baja",AI110="Moderado"),AND(L110="Baja",AI110="Menor"),AND(L110="Baja",AI110="Moderado"),AND(L110="Media",AI110="Leve"),AND(L110="Media",AI110="Menor"),AND(L110="Media",AI110="Moderado"),AND(L110="Alta",AI110="Leve"),AND(L110="Alta",AI110="Menor")),"Moderado",IF(OR(AND(L110="Muy Baja",AI110="Mayor"),AND(L110="Baja",AI110="Mayor"),AND(L110="Media",AI110="Mayor"),AND(L110="Alta",AI110="Moderado"),AND(L110="Alta",AI110="Mayor"),AND(L110="Muy Alta",AI110="Leve"),AND(L110="Muy Alta",AI110="Menor"),AND(L110="Muy Alta",AI110="Moderado"),AND(L110="Muy Alta",AI110="Mayor")),"Alto",IF(OR(AND(L110="Muy Baja",AI110="Catastrófico"),AND(L110="Baja",AI110="Catastrófico"),AND(L110="Media",AI110="Catastrófico"),AND(L110="Alta",AI110="Catastrófico"),AND(L110="Muy Alta",AI110="Catastrófico")),"Extremo",""))))</f>
        <v>Moderado</v>
      </c>
      <c r="AL110" s="127">
        <v>1</v>
      </c>
      <c r="AM110" s="127"/>
      <c r="AN110" s="127" t="e">
        <f>VLOOKUP(AM110,'Opciones Tratamiento'!$M$2:$O$37,3,FALSE)</f>
        <v>#N/A</v>
      </c>
      <c r="AO110" s="132" t="e">
        <f>VLOOKUP(AM110,'Opciones Tratamiento'!$M$2:$O$37,2,FALSE)</f>
        <v>#N/A</v>
      </c>
      <c r="AP110" s="132" t="s">
        <v>563</v>
      </c>
      <c r="AQ110" s="127" t="str">
        <f t="shared" ref="AQ110:AQ111" si="232">IF(OR(AR110="Preventivo",AR110="Detectivo"),"Probabilidad",IF(AR110="Correctivo","Impacto",""))</f>
        <v>Probabilidad</v>
      </c>
      <c r="AR110" s="134" t="s">
        <v>165</v>
      </c>
      <c r="AS110" s="134" t="s">
        <v>173</v>
      </c>
      <c r="AT110" s="135" t="str">
        <f t="shared" ref="AT110:AT111" si="233">IF(AND(AR110="Preventivo",AS110="Automático"),"50%",IF(AND(AR110="Preventivo",AS110="Manual"),"40%",IF(AND(AR110="Detectivo",AS110="Automático"),"40%",IF(AND(AR110="Detectivo",AS110="Manual"),"30%",IF(AND(AR110="Correctivo",AS110="Automático"),"35%",IF(AND(AR110="Correctivo",AS110="Manual"),"25%",""))))))</f>
        <v>40%</v>
      </c>
      <c r="AU110" s="134" t="s">
        <v>176</v>
      </c>
      <c r="AV110" s="134" t="s">
        <v>181</v>
      </c>
      <c r="AW110" s="134" t="s">
        <v>185</v>
      </c>
      <c r="AX110" s="136">
        <f>IFERROR(IF(AQ110="Probabilidad",(M110-(+M110*AT110)),IF(AQ110="Impacto",M110,"")),"")</f>
        <v>0.24</v>
      </c>
      <c r="AY110" s="137" t="str">
        <f t="shared" ref="AY110:AY111" si="234">IFERROR(IF(AX110="","",IF(AX110&lt;=0.2,"Muy Baja",IF(AX110&lt;=0.4,"Baja",IF(AX110&lt;=0.6,"Media",IF(AX110&lt;=0.8,"Alta","Muy Alta"))))),"")</f>
        <v>Baja</v>
      </c>
      <c r="AZ110" s="135">
        <f t="shared" ref="AZ110:AZ111" si="235">+AX110</f>
        <v>0.24</v>
      </c>
      <c r="BA110" s="137" t="str">
        <f t="shared" ref="BA110:BA111" ca="1" si="236">IFERROR(IF(BB110="","",IF(BB110&lt;=0.2,"Leve",IF(BB110&lt;=0.4,"Menor",IF(BB110&lt;=0.6,"Moderado",IF(BB110&lt;=0.8,"Mayor","Catastrófico"))))),"")</f>
        <v>Menor</v>
      </c>
      <c r="BB110" s="135">
        <f ca="1">IFERROR(IF(AQ110="Impacto",(AJ110-(+AJ110*AT110)),IF(AQ110="Probabilidad",AJ110,"")),"")</f>
        <v>0.4</v>
      </c>
      <c r="BC110" s="138" t="str">
        <f t="shared" ref="BC110:BC111" ca="1" si="237">IFERROR(IF(OR(AND(AY110="Muy Baja",BA110="Leve"),AND(AY110="Muy Baja",BA110="Menor"),AND(AY110="Baja",BA110="Leve")),"Bajo",IF(OR(AND(AY110="Muy baja",BA110="Moderado"),AND(AY110="Baja",BA110="Menor"),AND(AY110="Baja",BA110="Moderado"),AND(AY110="Media",BA110="Leve"),AND(AY110="Media",BA110="Menor"),AND(AY110="Media",BA110="Moderado"),AND(AY110="Alta",BA110="Leve"),AND(AY110="Alta",BA110="Menor")),"Moderado",IF(OR(AND(AY110="Muy Baja",BA110="Mayor"),AND(AY110="Baja",BA110="Mayor"),AND(AY110="Media",BA110="Mayor"),AND(AY110="Alta",BA110="Moderado"),AND(AY110="Alta",BA110="Mayor"),AND(AY110="Muy Alta",BA110="Leve"),AND(AY110="Muy Alta",BA110="Menor"),AND(AY110="Muy Alta",BA110="Moderado"),AND(AY110="Muy Alta",BA110="Mayor")),"Alto",IF(OR(AND(AY110="Muy Baja",BA110="Catastrófico"),AND(AY110="Baja",BA110="Catastrófico"),AND(AY110="Media",BA110="Catastrófico"),AND(AY110="Alta",BA110="Catastrófico"),AND(AY110="Muy Alta",BA110="Catastrófico")),"Extremo","")))),"")</f>
        <v>Moderado</v>
      </c>
      <c r="BD110" s="134" t="s">
        <v>196</v>
      </c>
      <c r="BE110" s="120"/>
      <c r="BF110" s="127"/>
      <c r="BG110" s="139"/>
      <c r="BH110" s="139"/>
      <c r="BI110" s="120"/>
      <c r="BJ110" s="127"/>
      <c r="BK110" s="18"/>
      <c r="BL110" s="18"/>
      <c r="BM110" s="18"/>
      <c r="BN110" s="18"/>
      <c r="BO110" s="18"/>
      <c r="BP110" s="18"/>
      <c r="BQ110" s="18"/>
      <c r="BR110" s="18"/>
      <c r="BS110" s="18"/>
      <c r="BT110" s="18"/>
      <c r="BU110" s="18"/>
      <c r="BV110" s="18"/>
      <c r="BW110" s="18"/>
      <c r="BX110" s="18"/>
      <c r="BY110" s="18"/>
      <c r="BZ110" s="18"/>
      <c r="CA110" s="18"/>
      <c r="CB110" s="18"/>
      <c r="CC110" s="18"/>
      <c r="CD110" s="18"/>
    </row>
    <row r="111" spans="1:82" ht="91.5" customHeight="1" x14ac:dyDescent="0.3">
      <c r="A111" s="184"/>
      <c r="B111" s="184"/>
      <c r="C111" s="186"/>
      <c r="D111" s="186"/>
      <c r="E111" s="186"/>
      <c r="F111" s="186"/>
      <c r="G111" s="186"/>
      <c r="H111" s="186"/>
      <c r="I111" s="186"/>
      <c r="J111" s="186"/>
      <c r="K111" s="186"/>
      <c r="L111" s="186"/>
      <c r="M111" s="186"/>
      <c r="N111" s="186"/>
      <c r="O111" s="186"/>
      <c r="P111" s="130"/>
      <c r="Q111" s="130"/>
      <c r="R111" s="130"/>
      <c r="S111" s="130"/>
      <c r="T111" s="130"/>
      <c r="U111" s="140"/>
      <c r="V111" s="140"/>
      <c r="W111" s="140"/>
      <c r="X111" s="140"/>
      <c r="Y111" s="140"/>
      <c r="Z111" s="140"/>
      <c r="AA111" s="140"/>
      <c r="AB111" s="140"/>
      <c r="AC111" s="140"/>
      <c r="AD111" s="130"/>
      <c r="AE111" s="130"/>
      <c r="AF111" s="130"/>
      <c r="AG111" s="130"/>
      <c r="AH111" s="130"/>
      <c r="AI111" s="186"/>
      <c r="AJ111" s="186"/>
      <c r="AK111" s="186"/>
      <c r="AL111" s="127">
        <v>2</v>
      </c>
      <c r="AM111" s="127"/>
      <c r="AN111" s="127" t="e">
        <f>VLOOKUP(AM111,'Opciones Tratamiento'!$M$2:$O$37,3,FALSE)</f>
        <v>#N/A</v>
      </c>
      <c r="AO111" s="132" t="e">
        <f>VLOOKUP(AM111,'Opciones Tratamiento'!$M$2:$O$37,2,FALSE)</f>
        <v>#N/A</v>
      </c>
      <c r="AP111" s="141" t="s">
        <v>564</v>
      </c>
      <c r="AQ111" s="127" t="str">
        <f t="shared" si="232"/>
        <v>Probabilidad</v>
      </c>
      <c r="AR111" s="134" t="s">
        <v>165</v>
      </c>
      <c r="AS111" s="134" t="s">
        <v>173</v>
      </c>
      <c r="AT111" s="135" t="str">
        <f t="shared" si="233"/>
        <v>40%</v>
      </c>
      <c r="AU111" s="134" t="s">
        <v>176</v>
      </c>
      <c r="AV111" s="134" t="s">
        <v>181</v>
      </c>
      <c r="AW111" s="134" t="s">
        <v>185</v>
      </c>
      <c r="AX111" s="136">
        <f>IFERROR(IF(AND(AQ110="Probabilidad",AQ111="Probabilidad"),(AZ110-(+AZ110*AT111)),IF(AQ111="Probabilidad",(M110-(+M110*AT111)),IF(AQ111="Impacto",AZ110,""))),"")</f>
        <v>0.14399999999999999</v>
      </c>
      <c r="AY111" s="137" t="str">
        <f t="shared" si="234"/>
        <v>Muy Baja</v>
      </c>
      <c r="AZ111" s="135">
        <f t="shared" si="235"/>
        <v>0.14399999999999999</v>
      </c>
      <c r="BA111" s="137" t="str">
        <f t="shared" si="236"/>
        <v>Menor</v>
      </c>
      <c r="BB111" s="135">
        <v>0.4</v>
      </c>
      <c r="BC111" s="138" t="str">
        <f t="shared" si="237"/>
        <v>Bajo</v>
      </c>
      <c r="BD111" s="134" t="s">
        <v>190</v>
      </c>
      <c r="BE111" s="120"/>
      <c r="BF111" s="127"/>
      <c r="BG111" s="139"/>
      <c r="BH111" s="139"/>
      <c r="BI111" s="120"/>
      <c r="BJ111" s="127"/>
      <c r="BK111" s="24"/>
      <c r="BL111" s="24"/>
      <c r="BM111" s="24"/>
      <c r="BN111" s="24"/>
      <c r="BO111" s="24"/>
      <c r="BP111" s="24"/>
      <c r="BQ111" s="24"/>
      <c r="BR111" s="24"/>
      <c r="BS111" s="24"/>
      <c r="BT111" s="24"/>
      <c r="BU111" s="24"/>
      <c r="BV111" s="24"/>
      <c r="BW111" s="24"/>
      <c r="BX111" s="24"/>
      <c r="BY111" s="24"/>
      <c r="BZ111" s="24"/>
      <c r="CA111" s="24"/>
      <c r="CB111" s="24"/>
      <c r="CC111" s="24"/>
      <c r="CD111" s="24"/>
    </row>
    <row r="112" spans="1:82" ht="84" customHeight="1" x14ac:dyDescent="0.3">
      <c r="A112" s="183">
        <v>44</v>
      </c>
      <c r="B112" s="183" t="s">
        <v>552</v>
      </c>
      <c r="C112" s="183" t="s">
        <v>193</v>
      </c>
      <c r="D112" s="183" t="s">
        <v>217</v>
      </c>
      <c r="E112" s="183"/>
      <c r="F112" s="183" t="s">
        <v>565</v>
      </c>
      <c r="G112" s="183" t="s">
        <v>566</v>
      </c>
      <c r="H112" s="183" t="str">
        <f>_xlfn.CONCAT("Posibilidad de afectación ",IF(C112='Opciones Tratamiento'!$E$2,"económica",IF(C112='Opciones Tratamiento'!$E$4,"económica y reputacional",LOWER(C112)))," por ",LOWER(F112), ", debido a ",LOWER(G112))</f>
        <v>Posibilidad de afectación reputacional por errores en la emisión de actos administrativos, debido a debilidades en la ejecución de controles de los actos administrativos</v>
      </c>
      <c r="I112" s="183" t="s">
        <v>201</v>
      </c>
      <c r="J112" s="185" t="s">
        <v>231</v>
      </c>
      <c r="K112" s="185" t="s">
        <v>237</v>
      </c>
      <c r="L112" s="187" t="str">
        <f>IF(OR(K112='Opciones Tratamiento'!$K$14,K112='Opciones Tratamiento'!$K$15,K112='Opciones Tratamiento'!$K$16),"Muy Baja",IF(OR(K112='Opciones Tratamiento'!$K$10,K112='Opciones Tratamiento'!$K$11,K112='Opciones Tratamiento'!$K$12,K112='Opciones Tratamiento'!$K$13),"Baja",IF(OR(K112='Opciones Tratamiento'!$K$4,K112='Opciones Tratamiento'!$K$5,K112='Opciones Tratamiento'!$K$6,K112='Opciones Tratamiento'!$K$7,K112='Opciones Tratamiento'!$K$8,K112='Opciones Tratamiento'!$K$9),"Media",IF(K112='Opciones Tratamiento'!$K$3,"Alta",IF(OR(K112='Opciones Tratamiento'!$K$2,K112='Opciones Tratamiento'!$K$17),"Muy Alta")))))</f>
        <v>Muy Alta</v>
      </c>
      <c r="M112" s="188">
        <f>IF(L112="","",IF(L112="Muy Baja",0.2,IF(L112="Baja",0.4,IF(L112="Media",0.6,IF(L112="Alta",0.8,IF(L112="Muy Alta",1,))))))</f>
        <v>1</v>
      </c>
      <c r="N112" s="188" t="s">
        <v>147</v>
      </c>
      <c r="O112" s="188" t="str">
        <f ca="1">IF(NOT(ISERROR(MATCH(N112,'Tabla Impacto'!$B$221:$B$223,0))),'Tabla Impacto'!$F$223&amp;"Por favor no seleccionar los criterios de impacto(Afectación Económica o presupuestal y Pérdida Reputacional)",N112)</f>
        <v xml:space="preserve">     El riesgo afecta la imagen de la entidad internamente, de conocimiento general, nivel interno, de junta dircetiva y accionistas y/o de provedores</v>
      </c>
      <c r="P112" s="130"/>
      <c r="Q112" s="130"/>
      <c r="R112" s="130"/>
      <c r="S112" s="130"/>
      <c r="T112" s="130"/>
      <c r="U112" s="140"/>
      <c r="V112" s="140"/>
      <c r="W112" s="140"/>
      <c r="X112" s="140"/>
      <c r="Y112" s="140"/>
      <c r="Z112" s="140"/>
      <c r="AA112" s="140"/>
      <c r="AB112" s="140"/>
      <c r="AC112" s="140"/>
      <c r="AD112" s="130"/>
      <c r="AE112" s="130"/>
      <c r="AF112" s="130"/>
      <c r="AG112" s="130"/>
      <c r="AH112" s="130"/>
      <c r="AI112" s="187" t="str">
        <f ca="1">IF(OR(D112='Opciones Tratamiento'!$H$2,D112='Opciones Tratamiento'!$H$4),IF(OR(O112='Tabla Impacto'!$C$11,O112='Tabla Impacto'!$D$11),"Leve",IF(OR(O112='Tabla Impacto'!$C$12,O112='Tabla Impacto'!$D$12),"Menor",IF(OR(O112='Tabla Impacto'!$C$13,O112='Tabla Impacto'!$D$13),"Moderado",IF(OR(O112='Tabla Impacto'!$C$14,O112='Tabla Impacto'!$D$14),"Mayor",IF(OR(O112='Tabla Impacto'!$C$15,O112='Tabla Impacto'!$D$15),"Catastrófico",""))))),IF(D112='Opciones Tratamiento'!$H$3,IF(COUNTIF('Mapa final'!P112:AH112,"Si")&lt;=5,"Moderado",IF(AND(COUNTIF('Mapa final'!P112:AH112,"Si")&gt;5,COUNTIF('Mapa final'!P112:AH112,"Si")&lt;=10),"Mayor",IF(COUNTIF('Mapa final'!P112:AH112,"Si")&gt;10,"Catastrófico","")))))</f>
        <v>Menor</v>
      </c>
      <c r="AJ112" s="188">
        <f ca="1">IF(AI112="","",IF(AI112="Leve",0.2,IF(AI112="Menor",0.4,IF(AI112="Moderado",0.6,IF(AI112="Mayor",0.8,IF(AI112="Catastrófico",1,))))))</f>
        <v>0.4</v>
      </c>
      <c r="AK112" s="190" t="str">
        <f ca="1">IF(OR(AND(L112="Muy Baja",AI112="Leve"),AND(L112="Muy Baja",AI112="Menor"),AND(L112="Baja",AI112="Leve")),"Bajo",IF(OR(AND(L112="Muy baja",AI112="Moderado"),AND(L112="Baja",AI112="Menor"),AND(L112="Baja",AI112="Moderado"),AND(L112="Media",AI112="Leve"),AND(L112="Media",AI112="Menor"),AND(L112="Media",AI112="Moderado"),AND(L112="Alta",AI112="Leve"),AND(L112="Alta",AI112="Menor")),"Moderado",IF(OR(AND(L112="Muy Baja",AI112="Mayor"),AND(L112="Baja",AI112="Mayor"),AND(L112="Media",AI112="Mayor"),AND(L112="Alta",AI112="Moderado"),AND(L112="Alta",AI112="Mayor"),AND(L112="Muy Alta",AI112="Leve"),AND(L112="Muy Alta",AI112="Menor"),AND(L112="Muy Alta",AI112="Moderado"),AND(L112="Muy Alta",AI112="Mayor")),"Alto",IF(OR(AND(L112="Muy Baja",AI112="Catastrófico"),AND(L112="Baja",AI112="Catastrófico"),AND(L112="Media",AI112="Catastrófico"),AND(L112="Alta",AI112="Catastrófico"),AND(L112="Muy Alta",AI112="Catastrófico")),"Extremo",""))))</f>
        <v>Alto</v>
      </c>
      <c r="AL112" s="127">
        <v>1</v>
      </c>
      <c r="AM112" s="127"/>
      <c r="AN112" s="127" t="e">
        <f>VLOOKUP(AM112,'Opciones Tratamiento'!$M$2:$O$37,3,FALSE)</f>
        <v>#N/A</v>
      </c>
      <c r="AO112" s="132" t="e">
        <f>VLOOKUP(AM112,'Opciones Tratamiento'!$M$2:$O$37,2,FALSE)</f>
        <v>#N/A</v>
      </c>
      <c r="AP112" s="132" t="s">
        <v>567</v>
      </c>
      <c r="AQ112" s="127" t="str">
        <f t="shared" ref="AQ112:AQ113" si="238">IF(OR(AR112="Preventivo",AR112="Detectivo"),"Probabilidad",IF(AR112="Correctivo","Impacto",""))</f>
        <v>Probabilidad</v>
      </c>
      <c r="AR112" s="134" t="s">
        <v>165</v>
      </c>
      <c r="AS112" s="134" t="s">
        <v>173</v>
      </c>
      <c r="AT112" s="135" t="str">
        <f t="shared" ref="AT112:AT113" si="239">IF(AND(AR112="Preventivo",AS112="Automático"),"50%",IF(AND(AR112="Preventivo",AS112="Manual"),"40%",IF(AND(AR112="Detectivo",AS112="Automático"),"40%",IF(AND(AR112="Detectivo",AS112="Manual"),"30%",IF(AND(AR112="Correctivo",AS112="Automático"),"35%",IF(AND(AR112="Correctivo",AS112="Manual"),"25%",""))))))</f>
        <v>40%</v>
      </c>
      <c r="AU112" s="134" t="s">
        <v>176</v>
      </c>
      <c r="AV112" s="134" t="s">
        <v>181</v>
      </c>
      <c r="AW112" s="134" t="s">
        <v>185</v>
      </c>
      <c r="AX112" s="136">
        <f>IFERROR(IF(AQ112="Probabilidad",(M112-(+M112*AT112)),IF(AQ112="Impacto",M112,"")),"")</f>
        <v>0.6</v>
      </c>
      <c r="AY112" s="137" t="str">
        <f t="shared" ref="AY112:AY113" si="240">IFERROR(IF(AX112="","",IF(AX112&lt;=0.2,"Muy Baja",IF(AX112&lt;=0.4,"Baja",IF(AX112&lt;=0.6,"Media",IF(AX112&lt;=0.8,"Alta","Muy Alta"))))),"")</f>
        <v>Media</v>
      </c>
      <c r="AZ112" s="135">
        <f t="shared" ref="AZ112:AZ113" si="241">+AX112</f>
        <v>0.6</v>
      </c>
      <c r="BA112" s="137" t="str">
        <f t="shared" ref="BA112:BA113" ca="1" si="242">IFERROR(IF(BB112="","",IF(BB112&lt;=0.2,"Leve",IF(BB112&lt;=0.4,"Menor",IF(BB112&lt;=0.6,"Moderado",IF(BB112&lt;=0.8,"Mayor","Catastrófico"))))),"")</f>
        <v>Menor</v>
      </c>
      <c r="BB112" s="135">
        <f ca="1">IFERROR(IF(AQ112="Impacto",(AJ112-(+AJ112*AT112)),IF(AQ112="Probabilidad",AJ112,"")),"")</f>
        <v>0.4</v>
      </c>
      <c r="BC112" s="138" t="str">
        <f t="shared" ref="BC112:BC113" ca="1" si="243">IFERROR(IF(OR(AND(AY112="Muy Baja",BA112="Leve"),AND(AY112="Muy Baja",BA112="Menor"),AND(AY112="Baja",BA112="Leve")),"Bajo",IF(OR(AND(AY112="Muy baja",BA112="Moderado"),AND(AY112="Baja",BA112="Menor"),AND(AY112="Baja",BA112="Moderado"),AND(AY112="Media",BA112="Leve"),AND(AY112="Media",BA112="Menor"),AND(AY112="Media",BA112="Moderado"),AND(AY112="Alta",BA112="Leve"),AND(AY112="Alta",BA112="Menor")),"Moderado",IF(OR(AND(AY112="Muy Baja",BA112="Mayor"),AND(AY112="Baja",BA112="Mayor"),AND(AY112="Media",BA112="Mayor"),AND(AY112="Alta",BA112="Moderado"),AND(AY112="Alta",BA112="Mayor"),AND(AY112="Muy Alta",BA112="Leve"),AND(AY112="Muy Alta",BA112="Menor"),AND(AY112="Muy Alta",BA112="Moderado"),AND(AY112="Muy Alta",BA112="Mayor")),"Alto",IF(OR(AND(AY112="Muy Baja",BA112="Catastrófico"),AND(AY112="Baja",BA112="Catastrófico"),AND(AY112="Media",BA112="Catastrófico"),AND(AY112="Alta",BA112="Catastrófico"),AND(AY112="Muy Alta",BA112="Catastrófico")),"Extremo","")))),"")</f>
        <v>Moderado</v>
      </c>
      <c r="BD112" s="134" t="s">
        <v>196</v>
      </c>
      <c r="BE112" s="120"/>
      <c r="BF112" s="127"/>
      <c r="BG112" s="139"/>
      <c r="BH112" s="139"/>
      <c r="BI112" s="120"/>
      <c r="BJ112" s="127"/>
      <c r="BK112" s="18"/>
      <c r="BL112" s="18"/>
      <c r="BM112" s="18"/>
      <c r="BN112" s="18"/>
      <c r="BO112" s="18"/>
      <c r="BP112" s="18"/>
      <c r="BQ112" s="18"/>
      <c r="BR112" s="18"/>
      <c r="BS112" s="18"/>
      <c r="BT112" s="18"/>
      <c r="BU112" s="18"/>
      <c r="BV112" s="18"/>
      <c r="BW112" s="18"/>
      <c r="BX112" s="18"/>
      <c r="BY112" s="18"/>
      <c r="BZ112" s="18"/>
      <c r="CA112" s="18"/>
      <c r="CB112" s="18"/>
      <c r="CC112" s="18"/>
      <c r="CD112" s="18"/>
    </row>
    <row r="113" spans="1:82" ht="84" customHeight="1" x14ac:dyDescent="0.3">
      <c r="A113" s="184"/>
      <c r="B113" s="184"/>
      <c r="C113" s="186"/>
      <c r="D113" s="186"/>
      <c r="E113" s="186"/>
      <c r="F113" s="186"/>
      <c r="G113" s="186"/>
      <c r="H113" s="186"/>
      <c r="I113" s="186"/>
      <c r="J113" s="186"/>
      <c r="K113" s="186"/>
      <c r="L113" s="186"/>
      <c r="M113" s="186"/>
      <c r="N113" s="186"/>
      <c r="O113" s="186"/>
      <c r="P113" s="130"/>
      <c r="Q113" s="130"/>
      <c r="R113" s="130"/>
      <c r="S113" s="130"/>
      <c r="T113" s="130"/>
      <c r="U113" s="140"/>
      <c r="V113" s="140"/>
      <c r="W113" s="140"/>
      <c r="X113" s="140"/>
      <c r="Y113" s="140"/>
      <c r="Z113" s="140"/>
      <c r="AA113" s="140"/>
      <c r="AB113" s="140"/>
      <c r="AC113" s="140"/>
      <c r="AD113" s="130"/>
      <c r="AE113" s="130"/>
      <c r="AF113" s="130"/>
      <c r="AG113" s="130"/>
      <c r="AH113" s="130"/>
      <c r="AI113" s="186"/>
      <c r="AJ113" s="186"/>
      <c r="AK113" s="186"/>
      <c r="AL113" s="127">
        <v>2</v>
      </c>
      <c r="AM113" s="127"/>
      <c r="AN113" s="127" t="e">
        <f>VLOOKUP(AM113,'Opciones Tratamiento'!$M$2:$O$37,3,FALSE)</f>
        <v>#N/A</v>
      </c>
      <c r="AO113" s="132" t="e">
        <f>VLOOKUP(AM113,'Opciones Tratamiento'!$M$2:$O$37,2,FALSE)</f>
        <v>#N/A</v>
      </c>
      <c r="AP113" s="132" t="s">
        <v>627</v>
      </c>
      <c r="AQ113" s="127" t="str">
        <f t="shared" si="238"/>
        <v>Probabilidad</v>
      </c>
      <c r="AR113" s="134" t="s">
        <v>165</v>
      </c>
      <c r="AS113" s="134" t="s">
        <v>173</v>
      </c>
      <c r="AT113" s="135" t="str">
        <f t="shared" si="239"/>
        <v>40%</v>
      </c>
      <c r="AU113" s="134" t="s">
        <v>176</v>
      </c>
      <c r="AV113" s="134" t="s">
        <v>181</v>
      </c>
      <c r="AW113" s="134" t="s">
        <v>185</v>
      </c>
      <c r="AX113" s="136">
        <f>IFERROR(IF(AND(AQ112="Probabilidad",AQ113="Probabilidad"),(AZ112-(+AZ112*AT113)),IF(AQ113="Probabilidad",(M112-(+M112*AT113)),IF(AQ113="Impacto",AZ112,""))),"")</f>
        <v>0.36</v>
      </c>
      <c r="AY113" s="137" t="str">
        <f t="shared" si="240"/>
        <v>Baja</v>
      </c>
      <c r="AZ113" s="135">
        <f t="shared" si="241"/>
        <v>0.36</v>
      </c>
      <c r="BA113" s="137" t="str">
        <f t="shared" ca="1" si="242"/>
        <v>Menor</v>
      </c>
      <c r="BB113" s="135">
        <f ca="1">IFERROR(IF(AND(AQ112="Impacto",AQ113="Impacto"),(BB110-(+BB110*AT113)),IF(AQ113="Impacto",($AJ$25-(+$AJ$25*AT113)),IF(AQ113="Probabilidad",BB110,""))),"")</f>
        <v>0.4</v>
      </c>
      <c r="BC113" s="138" t="str">
        <f t="shared" ca="1" si="243"/>
        <v>Moderado</v>
      </c>
      <c r="BD113" s="134" t="s">
        <v>190</v>
      </c>
      <c r="BE113" s="120"/>
      <c r="BF113" s="127"/>
      <c r="BG113" s="139"/>
      <c r="BH113" s="139"/>
      <c r="BI113" s="120"/>
      <c r="BJ113" s="127"/>
      <c r="BK113" s="24"/>
      <c r="BL113" s="24"/>
      <c r="BM113" s="24"/>
      <c r="BN113" s="24"/>
      <c r="BO113" s="24"/>
      <c r="BP113" s="24"/>
      <c r="BQ113" s="24"/>
      <c r="BR113" s="24"/>
      <c r="BS113" s="24"/>
      <c r="BT113" s="24"/>
      <c r="BU113" s="24"/>
      <c r="BV113" s="24"/>
      <c r="BW113" s="24"/>
      <c r="BX113" s="24"/>
      <c r="BY113" s="24"/>
      <c r="BZ113" s="24"/>
      <c r="CA113" s="24"/>
      <c r="CB113" s="24"/>
      <c r="CC113" s="24"/>
      <c r="CD113" s="24"/>
    </row>
    <row r="114" spans="1:82" ht="72.599999999999994" customHeight="1" x14ac:dyDescent="0.3">
      <c r="A114" s="183">
        <v>45</v>
      </c>
      <c r="B114" s="183" t="s">
        <v>568</v>
      </c>
      <c r="C114" s="183" t="s">
        <v>195</v>
      </c>
      <c r="D114" s="183" t="s">
        <v>217</v>
      </c>
      <c r="E114" s="183"/>
      <c r="F114" s="183" t="s">
        <v>569</v>
      </c>
      <c r="G114" s="189" t="s">
        <v>570</v>
      </c>
      <c r="H114" s="183" t="str">
        <f>_xlfn.CONCAT("Posibilidad de afectación ",IF(C114='Opciones Tratamiento'!$E$2,"económica",IF(C114='Opciones Tratamiento'!$E$4,"económica y reputacional",LOWER(C114)))," por ",LOWER(F114), ", debido a ",LOWER(G114))</f>
        <v xml:space="preserve">Posibilidad de afectación económica y reputacional por incumplimiento de informes y reportes de ley, debido a entrega de datos, reportes y/o información por parte de las dependencias de manera incompleta, imprecisa y/o inoportuna
desconocimiento de los temas o tiempos de entrega de informes o reportes  por parte de los servidor público de la oci   
alto volumen de trabajo y no se cuenta con el personal suficiente </v>
      </c>
      <c r="I114" s="183" t="s">
        <v>420</v>
      </c>
      <c r="J114" s="185" t="s">
        <v>231</v>
      </c>
      <c r="K114" s="185" t="s">
        <v>248</v>
      </c>
      <c r="L114" s="187" t="str">
        <f>IF(OR(K114='Opciones Tratamiento'!$K$14,K114='Opciones Tratamiento'!$K$15,K114='Opciones Tratamiento'!$K$16),"Muy Baja",IF(OR(K114='Opciones Tratamiento'!$K$10,K114='Opciones Tratamiento'!$K$11,K114='Opciones Tratamiento'!$K$12,K114='Opciones Tratamiento'!$K$13),"Baja",IF(OR(K114='Opciones Tratamiento'!$K$4,K114='Opciones Tratamiento'!$K$5,K114='Opciones Tratamiento'!$K$6,K114='Opciones Tratamiento'!$K$7,K114='Opciones Tratamiento'!$K$8,K114='Opciones Tratamiento'!$K$9),"Media",IF(K114='Opciones Tratamiento'!$K$3,"Alta",IF(OR(K114='Opciones Tratamiento'!$K$2,K114='Opciones Tratamiento'!$K$17),"Muy Alta")))))</f>
        <v>Baja</v>
      </c>
      <c r="M114" s="188">
        <f>IF(L114="","",IF(L114="Muy Baja",0.2,IF(L114="Baja",0.4,IF(L114="Media",0.6,IF(L114="Alta",0.8,IF(L114="Muy Alta",1,))))))</f>
        <v>0.4</v>
      </c>
      <c r="N114" s="188" t="s">
        <v>149</v>
      </c>
      <c r="O114" s="188" t="str">
        <f ca="1">IF(NOT(ISERROR(MATCH(N114,'Tabla Impacto'!$B$221:$B$223,0))),'Tabla Impacto'!$F$223&amp;"Por favor no seleccionar los criterios de impacto(Afectación Económica o presupuestal y Pérdida Reputacional)",N114)</f>
        <v xml:space="preserve">     El riesgo afecta la imagen de la entidad con algunos usuarios de relevancia frente al logro de los objetivos</v>
      </c>
      <c r="P114" s="130"/>
      <c r="Q114" s="130"/>
      <c r="R114" s="130"/>
      <c r="S114" s="130"/>
      <c r="T114" s="130"/>
      <c r="U114" s="140"/>
      <c r="V114" s="140"/>
      <c r="W114" s="140"/>
      <c r="X114" s="140"/>
      <c r="Y114" s="140"/>
      <c r="Z114" s="140"/>
      <c r="AA114" s="140"/>
      <c r="AB114" s="140"/>
      <c r="AC114" s="140"/>
      <c r="AD114" s="130"/>
      <c r="AE114" s="130"/>
      <c r="AF114" s="130"/>
      <c r="AG114" s="130"/>
      <c r="AH114" s="130"/>
      <c r="AI114" s="187" t="str">
        <f ca="1">IF(OR(D114='Opciones Tratamiento'!$H$2,D114='Opciones Tratamiento'!$H$4),IF(OR(O114='Tabla Impacto'!$C$11,O114='Tabla Impacto'!$D$11),"Leve",IF(OR(O114='Tabla Impacto'!$C$12,O114='Tabla Impacto'!$D$12),"Menor",IF(OR(O114='Tabla Impacto'!$C$13,O114='Tabla Impacto'!$D$13),"Moderado",IF(OR(O114='Tabla Impacto'!$C$14,O114='Tabla Impacto'!$D$14),"Mayor",IF(OR(O114='Tabla Impacto'!$C$15,O114='Tabla Impacto'!$D$15),"Catastrófico",""))))),IF(D114='Opciones Tratamiento'!$H$3,IF(COUNTIF('Mapa final'!P114:AH114,"Si")&lt;=5,"Moderado",IF(AND(COUNTIF('Mapa final'!P114:AH114,"Si")&gt;5,COUNTIF('Mapa final'!P114:AH114,"Si")&lt;=10),"Mayor",IF(COUNTIF('Mapa final'!P114:AH114,"Si")&gt;10,"Catastrófico","")))))</f>
        <v>Moderado</v>
      </c>
      <c r="AJ114" s="188">
        <f ca="1">IF(AI114="","",IF(AI114="Leve",0.2,IF(AI114="Menor",0.4,IF(AI114="Moderado",0.6,IF(AI114="Mayor",0.8,IF(AI114="Catastrófico",1,))))))</f>
        <v>0.6</v>
      </c>
      <c r="AK114" s="190" t="str">
        <f ca="1">IF(OR(AND(L114="Muy Baja",AI114="Leve"),AND(L114="Muy Baja",AI114="Menor"),AND(L114="Baja",AI114="Leve")),"Bajo",IF(OR(AND(L114="Muy baja",AI114="Moderado"),AND(L114="Baja",AI114="Menor"),AND(L114="Baja",AI114="Moderado"),AND(L114="Media",AI114="Leve"),AND(L114="Media",AI114="Menor"),AND(L114="Media",AI114="Moderado"),AND(L114="Alta",AI114="Leve"),AND(L114="Alta",AI114="Menor")),"Moderado",IF(OR(AND(L114="Muy Baja",AI114="Mayor"),AND(L114="Baja",AI114="Mayor"),AND(L114="Media",AI114="Mayor"),AND(L114="Alta",AI114="Moderado"),AND(L114="Alta",AI114="Mayor"),AND(L114="Muy Alta",AI114="Leve"),AND(L114="Muy Alta",AI114="Menor"),AND(L114="Muy Alta",AI114="Moderado"),AND(L114="Muy Alta",AI114="Mayor")),"Alto",IF(OR(AND(L114="Muy Baja",AI114="Catastrófico"),AND(L114="Baja",AI114="Catastrófico"),AND(L114="Media",AI114="Catastrófico"),AND(L114="Alta",AI114="Catastrófico"),AND(L114="Muy Alta",AI114="Catastrófico")),"Extremo",""))))</f>
        <v>Moderado</v>
      </c>
      <c r="AL114" s="127">
        <v>1</v>
      </c>
      <c r="AM114" s="127"/>
      <c r="AN114" s="127" t="e">
        <f>VLOOKUP(AM114,'Opciones Tratamiento'!$M$2:$O$37,3,FALSE)</f>
        <v>#N/A</v>
      </c>
      <c r="AO114" s="132" t="e">
        <f>VLOOKUP(AM114,'Opciones Tratamiento'!$M$2:$O$37,2,FALSE)</f>
        <v>#N/A</v>
      </c>
      <c r="AP114" s="133" t="s">
        <v>571</v>
      </c>
      <c r="AQ114" s="127" t="str">
        <f t="shared" ref="AQ114:AQ116" si="244">IF(OR(AR114="Preventivo",AR114="Detectivo"),"Probabilidad",IF(AR114="Correctivo","Impacto",""))</f>
        <v>Probabilidad</v>
      </c>
      <c r="AR114" s="134" t="s">
        <v>165</v>
      </c>
      <c r="AS114" s="134" t="s">
        <v>173</v>
      </c>
      <c r="AT114" s="135" t="str">
        <f t="shared" ref="AT114:AT116" si="245">IF(AND(AR114="Preventivo",AS114="Automático"),"50%",IF(AND(AR114="Preventivo",AS114="Manual"),"40%",IF(AND(AR114="Detectivo",AS114="Automático"),"40%",IF(AND(AR114="Detectivo",AS114="Manual"),"30%",IF(AND(AR114="Correctivo",AS114="Automático"),"35%",IF(AND(AR114="Correctivo",AS114="Manual"),"25%",""))))))</f>
        <v>40%</v>
      </c>
      <c r="AU114" s="134" t="s">
        <v>176</v>
      </c>
      <c r="AV114" s="134" t="s">
        <v>181</v>
      </c>
      <c r="AW114" s="134" t="s">
        <v>185</v>
      </c>
      <c r="AX114" s="136">
        <f>IFERROR(IF(AQ114="Probabilidad",(M114-(+M114*AT114)),IF(AQ114="Impacto",M114,"")),"")</f>
        <v>0.24</v>
      </c>
      <c r="AY114" s="137" t="str">
        <f t="shared" ref="AY114:AY116" si="246">IFERROR(IF(AX114="","",IF(AX114&lt;=0.2,"Muy Baja",IF(AX114&lt;=0.4,"Baja",IF(AX114&lt;=0.6,"Media",IF(AX114&lt;=0.8,"Alta","Muy Alta"))))),"")</f>
        <v>Baja</v>
      </c>
      <c r="AZ114" s="135">
        <f t="shared" ref="AZ114:AZ116" si="247">+AX114</f>
        <v>0.24</v>
      </c>
      <c r="BA114" s="137" t="str">
        <f t="shared" ref="BA114:BA116" ca="1" si="248">IFERROR(IF(BB114="","",IF(BB114&lt;=0.2,"Leve",IF(BB114&lt;=0.4,"Menor",IF(BB114&lt;=0.6,"Moderado",IF(BB114&lt;=0.8,"Mayor","Catastrófico"))))),"")</f>
        <v>Moderado</v>
      </c>
      <c r="BB114" s="135">
        <f ca="1">IFERROR(IF(AQ114="Impacto",(AJ114-(+AJ114*AT114)),IF(AQ114="Probabilidad",AJ114,"")),"")</f>
        <v>0.6</v>
      </c>
      <c r="BC114" s="138" t="str">
        <f t="shared" ref="BC114:BC116" ca="1" si="249">IFERROR(IF(OR(AND(AY114="Muy Baja",BA114="Leve"),AND(AY114="Muy Baja",BA114="Menor"),AND(AY114="Baja",BA114="Leve")),"Bajo",IF(OR(AND(AY114="Muy baja",BA114="Moderado"),AND(AY114="Baja",BA114="Menor"),AND(AY114="Baja",BA114="Moderado"),AND(AY114="Media",BA114="Leve"),AND(AY114="Media",BA114="Menor"),AND(AY114="Media",BA114="Moderado"),AND(AY114="Alta",BA114="Leve"),AND(AY114="Alta",BA114="Menor")),"Moderado",IF(OR(AND(AY114="Muy Baja",BA114="Mayor"),AND(AY114="Baja",BA114="Mayor"),AND(AY114="Media",BA114="Mayor"),AND(AY114="Alta",BA114="Moderado"),AND(AY114="Alta",BA114="Mayor"),AND(AY114="Muy Alta",BA114="Leve"),AND(AY114="Muy Alta",BA114="Menor"),AND(AY114="Muy Alta",BA114="Moderado"),AND(AY114="Muy Alta",BA114="Mayor")),"Alto",IF(OR(AND(AY114="Muy Baja",BA114="Catastrófico"),AND(AY114="Baja",BA114="Catastrófico"),AND(AY114="Media",BA114="Catastrófico"),AND(AY114="Alta",BA114="Catastrófico"),AND(AY114="Muy Alta",BA114="Catastrófico")),"Extremo","")))),"")</f>
        <v>Moderado</v>
      </c>
      <c r="BD114" s="134" t="s">
        <v>196</v>
      </c>
      <c r="BE114" s="120"/>
      <c r="BF114" s="127"/>
      <c r="BG114" s="139"/>
      <c r="BH114" s="139"/>
      <c r="BI114" s="120"/>
      <c r="BJ114" s="127"/>
      <c r="BK114" s="18"/>
      <c r="BL114" s="18"/>
      <c r="BM114" s="18"/>
      <c r="BN114" s="18"/>
      <c r="BO114" s="18"/>
      <c r="BP114" s="18"/>
      <c r="BQ114" s="18"/>
      <c r="BR114" s="18"/>
      <c r="BS114" s="18"/>
      <c r="BT114" s="18"/>
      <c r="BU114" s="18"/>
      <c r="BV114" s="18"/>
      <c r="BW114" s="18"/>
      <c r="BX114" s="18"/>
      <c r="BY114" s="18"/>
      <c r="BZ114" s="18"/>
      <c r="CA114" s="18"/>
      <c r="CB114" s="18"/>
      <c r="CC114" s="18"/>
      <c r="CD114" s="18"/>
    </row>
    <row r="115" spans="1:82" ht="72.599999999999994" customHeight="1" x14ac:dyDescent="0.3">
      <c r="A115" s="184"/>
      <c r="B115" s="184"/>
      <c r="C115" s="186"/>
      <c r="D115" s="186"/>
      <c r="E115" s="186"/>
      <c r="F115" s="186"/>
      <c r="G115" s="189"/>
      <c r="H115" s="186"/>
      <c r="I115" s="186"/>
      <c r="J115" s="186"/>
      <c r="K115" s="186"/>
      <c r="L115" s="186"/>
      <c r="M115" s="186"/>
      <c r="N115" s="186"/>
      <c r="O115" s="186"/>
      <c r="P115" s="130"/>
      <c r="Q115" s="130"/>
      <c r="R115" s="130"/>
      <c r="S115" s="130"/>
      <c r="T115" s="130"/>
      <c r="U115" s="140"/>
      <c r="V115" s="140"/>
      <c r="W115" s="140"/>
      <c r="X115" s="140"/>
      <c r="Y115" s="140"/>
      <c r="Z115" s="140"/>
      <c r="AA115" s="140"/>
      <c r="AB115" s="140"/>
      <c r="AC115" s="140"/>
      <c r="AD115" s="130"/>
      <c r="AE115" s="130"/>
      <c r="AF115" s="130"/>
      <c r="AG115" s="130"/>
      <c r="AH115" s="130"/>
      <c r="AI115" s="186"/>
      <c r="AJ115" s="186"/>
      <c r="AK115" s="186"/>
      <c r="AL115" s="127">
        <v>2</v>
      </c>
      <c r="AM115" s="127"/>
      <c r="AN115" s="127" t="e">
        <f>VLOOKUP(AM115,'Opciones Tratamiento'!$M$2:$O$37,3,FALSE)</f>
        <v>#N/A</v>
      </c>
      <c r="AO115" s="132" t="e">
        <f>VLOOKUP(AM115,'Opciones Tratamiento'!$M$2:$O$37,2,FALSE)</f>
        <v>#N/A</v>
      </c>
      <c r="AP115" s="133" t="s">
        <v>572</v>
      </c>
      <c r="AQ115" s="127" t="str">
        <f t="shared" si="244"/>
        <v>Probabilidad</v>
      </c>
      <c r="AR115" s="134" t="s">
        <v>165</v>
      </c>
      <c r="AS115" s="134" t="s">
        <v>173</v>
      </c>
      <c r="AT115" s="135" t="str">
        <f t="shared" si="245"/>
        <v>40%</v>
      </c>
      <c r="AU115" s="134" t="s">
        <v>176</v>
      </c>
      <c r="AV115" s="134" t="s">
        <v>181</v>
      </c>
      <c r="AW115" s="134" t="s">
        <v>185</v>
      </c>
      <c r="AX115" s="136">
        <f>IFERROR(IF(AND(AQ114="Probabilidad",AQ115="Probabilidad"),(AZ114-(+AZ114*AT115)),IF(AQ115="Probabilidad",(M114-(+M114*AT115)),IF(AQ115="Impacto",AZ114,""))),"")</f>
        <v>0.14399999999999999</v>
      </c>
      <c r="AY115" s="137" t="str">
        <f t="shared" si="246"/>
        <v>Muy Baja</v>
      </c>
      <c r="AZ115" s="135">
        <f t="shared" si="247"/>
        <v>0.14399999999999999</v>
      </c>
      <c r="BA115" s="137" t="str">
        <f t="shared" si="248"/>
        <v>Moderado</v>
      </c>
      <c r="BB115" s="135">
        <v>0.6</v>
      </c>
      <c r="BC115" s="138" t="str">
        <f t="shared" si="249"/>
        <v>Moderado</v>
      </c>
      <c r="BD115" s="134" t="s">
        <v>196</v>
      </c>
      <c r="BE115" s="120"/>
      <c r="BF115" s="127"/>
      <c r="BG115" s="139"/>
      <c r="BH115" s="139"/>
      <c r="BI115" s="120"/>
      <c r="BJ115" s="127"/>
      <c r="BK115" s="24"/>
      <c r="BL115" s="24"/>
      <c r="BM115" s="24"/>
      <c r="BN115" s="24"/>
      <c r="BO115" s="24"/>
      <c r="BP115" s="24"/>
      <c r="BQ115" s="24"/>
      <c r="BR115" s="24"/>
      <c r="BS115" s="24"/>
      <c r="BT115" s="24"/>
      <c r="BU115" s="24"/>
      <c r="BV115" s="24"/>
      <c r="BW115" s="24"/>
      <c r="BX115" s="24"/>
      <c r="BY115" s="24"/>
      <c r="BZ115" s="24"/>
      <c r="CA115" s="24"/>
      <c r="CB115" s="24"/>
      <c r="CC115" s="24"/>
      <c r="CD115" s="24"/>
    </row>
    <row r="116" spans="1:82" ht="72.599999999999994" customHeight="1" x14ac:dyDescent="0.3">
      <c r="A116" s="184"/>
      <c r="B116" s="184"/>
      <c r="C116" s="186"/>
      <c r="D116" s="186"/>
      <c r="E116" s="186"/>
      <c r="F116" s="186"/>
      <c r="G116" s="189"/>
      <c r="H116" s="186"/>
      <c r="I116" s="186"/>
      <c r="J116" s="186"/>
      <c r="K116" s="186"/>
      <c r="L116" s="186"/>
      <c r="M116" s="186"/>
      <c r="N116" s="186"/>
      <c r="O116" s="186"/>
      <c r="P116" s="130"/>
      <c r="Q116" s="130"/>
      <c r="R116" s="130"/>
      <c r="S116" s="130"/>
      <c r="T116" s="130"/>
      <c r="U116" s="140"/>
      <c r="V116" s="140"/>
      <c r="W116" s="140"/>
      <c r="X116" s="140"/>
      <c r="Y116" s="140"/>
      <c r="Z116" s="140"/>
      <c r="AA116" s="140"/>
      <c r="AB116" s="140"/>
      <c r="AC116" s="140"/>
      <c r="AD116" s="130"/>
      <c r="AE116" s="130"/>
      <c r="AF116" s="130"/>
      <c r="AG116" s="130"/>
      <c r="AH116" s="130"/>
      <c r="AI116" s="186"/>
      <c r="AJ116" s="186"/>
      <c r="AK116" s="186"/>
      <c r="AL116" s="127">
        <v>3</v>
      </c>
      <c r="AM116" s="127"/>
      <c r="AN116" s="127" t="e">
        <f>VLOOKUP(AM116,'Opciones Tratamiento'!$M$2:$O$37,3,FALSE)</f>
        <v>#N/A</v>
      </c>
      <c r="AO116" s="132" t="e">
        <f>VLOOKUP(AM116,'Opciones Tratamiento'!$M$2:$O$37,2,FALSE)</f>
        <v>#N/A</v>
      </c>
      <c r="AP116" s="133" t="s">
        <v>573</v>
      </c>
      <c r="AQ116" s="127" t="str">
        <f t="shared" si="244"/>
        <v>Probabilidad</v>
      </c>
      <c r="AR116" s="134" t="s">
        <v>165</v>
      </c>
      <c r="AS116" s="134" t="s">
        <v>173</v>
      </c>
      <c r="AT116" s="135" t="str">
        <f t="shared" si="245"/>
        <v>40%</v>
      </c>
      <c r="AU116" s="134" t="s">
        <v>176</v>
      </c>
      <c r="AV116" s="134" t="s">
        <v>181</v>
      </c>
      <c r="AW116" s="134" t="s">
        <v>185</v>
      </c>
      <c r="AX116" s="136">
        <f t="shared" ref="AX116" si="250">IFERROR(IF(AND(AQ115="Probabilidad",AQ116="Probabilidad"),(AZ115-(+AZ115*AT116)),IF(AND(AQ115="Impacto",AQ116="Probabilidad"),(AZ114-(+AZ114*AT116)),IF(AQ116="Impacto",AZ115,""))),"")</f>
        <v>8.6399999999999991E-2</v>
      </c>
      <c r="AY116" s="137" t="str">
        <f t="shared" si="246"/>
        <v>Muy Baja</v>
      </c>
      <c r="AZ116" s="135">
        <f t="shared" si="247"/>
        <v>8.6399999999999991E-2</v>
      </c>
      <c r="BA116" s="137" t="str">
        <f t="shared" si="248"/>
        <v>Moderado</v>
      </c>
      <c r="BB116" s="135">
        <f t="shared" ref="BB116" si="251">IFERROR(IF(AND(AQ115="Impacto",AQ116="Impacto"),(BB115-(+BB115*AT116)),IF(AND(AQ115="Probabilidad",AQ116="Impacto"),(BB114-(+BB114*AT116)),IF(AQ116="Probabilidad",BB115,""))),"")</f>
        <v>0.6</v>
      </c>
      <c r="BC116" s="138" t="str">
        <f t="shared" si="249"/>
        <v>Moderado</v>
      </c>
      <c r="BD116" s="134" t="s">
        <v>196</v>
      </c>
      <c r="BE116" s="120"/>
      <c r="BF116" s="127"/>
      <c r="BG116" s="139"/>
      <c r="BH116" s="139"/>
      <c r="BI116" s="120"/>
      <c r="BJ116" s="127"/>
      <c r="BK116" s="24"/>
      <c r="BL116" s="24"/>
      <c r="BM116" s="24"/>
      <c r="BN116" s="24"/>
      <c r="BO116" s="24"/>
      <c r="BP116" s="24"/>
      <c r="BQ116" s="24"/>
      <c r="BR116" s="24"/>
      <c r="BS116" s="24"/>
      <c r="BT116" s="24"/>
      <c r="BU116" s="24"/>
      <c r="BV116" s="24"/>
      <c r="BW116" s="24"/>
      <c r="BX116" s="24"/>
      <c r="BY116" s="24"/>
      <c r="BZ116" s="24"/>
      <c r="CA116" s="24"/>
      <c r="CB116" s="24"/>
      <c r="CC116" s="24"/>
      <c r="CD116" s="24"/>
    </row>
    <row r="117" spans="1:82" ht="86.45" customHeight="1" x14ac:dyDescent="0.3">
      <c r="A117" s="183">
        <v>46</v>
      </c>
      <c r="B117" s="183" t="s">
        <v>568</v>
      </c>
      <c r="C117" s="183" t="s">
        <v>193</v>
      </c>
      <c r="D117" s="183" t="s">
        <v>217</v>
      </c>
      <c r="E117" s="183"/>
      <c r="F117" s="183" t="s">
        <v>574</v>
      </c>
      <c r="G117" s="183" t="s">
        <v>575</v>
      </c>
      <c r="H117" s="183" t="str">
        <f>_xlfn.CONCAT("Posibilidad de afectación ",IF(C117='Opciones Tratamiento'!$E$2,"económica",IF(C117='Opciones Tratamiento'!$E$4,"económica y reputacional",LOWER(C117)))," por ",LOWER(F117), ", debido a ",LOWER(G117))</f>
        <v>Posibilidad de afectación reputacional por incumplimiento 
del plan anual de auditorías internas y especiales, debido a alto volumen de trabajo y no se cuenta con el personal suficiente 
personal no idóneo para el cumplimiento de las actividades
entrega de información por parte de las áreas responsables sin el cumplimiento en la oportunidad, veracidad y confiabilidad de la misma
posibles  cambios no previstos que afecten la ejecución del plan o programa de auditorías</v>
      </c>
      <c r="I117" s="183" t="s">
        <v>201</v>
      </c>
      <c r="J117" s="185" t="s">
        <v>231</v>
      </c>
      <c r="K117" s="185" t="s">
        <v>248</v>
      </c>
      <c r="L117" s="187" t="str">
        <f>IF(OR(K117='Opciones Tratamiento'!$K$14,K117='Opciones Tratamiento'!$K$15,K117='Opciones Tratamiento'!$K$16),"Muy Baja",IF(OR(K117='Opciones Tratamiento'!$K$10,K117='Opciones Tratamiento'!$K$11,K117='Opciones Tratamiento'!$K$12,K117='Opciones Tratamiento'!$K$13),"Baja",IF(OR(K117='Opciones Tratamiento'!$K$4,K117='Opciones Tratamiento'!$K$5,K117='Opciones Tratamiento'!$K$6,K117='Opciones Tratamiento'!$K$7,K117='Opciones Tratamiento'!$K$8,K117='Opciones Tratamiento'!$K$9),"Media",IF(K117='Opciones Tratamiento'!$K$3,"Alta",IF(OR(K117='Opciones Tratamiento'!$K$2,K117='Opciones Tratamiento'!$K$17),"Muy Alta")))))</f>
        <v>Baja</v>
      </c>
      <c r="M117" s="188">
        <f>IF(L117="","",IF(L117="Muy Baja",0.2,IF(L117="Baja",0.4,IF(L117="Media",0.6,IF(L117="Alta",0.8,IF(L117="Muy Alta",1,))))))</f>
        <v>0.4</v>
      </c>
      <c r="N117" s="188" t="s">
        <v>149</v>
      </c>
      <c r="O117" s="188" t="str">
        <f ca="1">IF(NOT(ISERROR(MATCH(N117,'Tabla Impacto'!$B$221:$B$223,0))),'Tabla Impacto'!$F$223&amp;"Por favor no seleccionar los criterios de impacto(Afectación Económica o presupuestal y Pérdida Reputacional)",N117)</f>
        <v xml:space="preserve">     El riesgo afecta la imagen de la entidad con algunos usuarios de relevancia frente al logro de los objetivos</v>
      </c>
      <c r="P117" s="130"/>
      <c r="Q117" s="130"/>
      <c r="R117" s="130"/>
      <c r="S117" s="130"/>
      <c r="T117" s="130"/>
      <c r="U117" s="140"/>
      <c r="V117" s="140"/>
      <c r="W117" s="140"/>
      <c r="X117" s="140"/>
      <c r="Y117" s="140"/>
      <c r="Z117" s="140"/>
      <c r="AA117" s="140"/>
      <c r="AB117" s="140"/>
      <c r="AC117" s="140"/>
      <c r="AD117" s="130"/>
      <c r="AE117" s="130"/>
      <c r="AF117" s="130"/>
      <c r="AG117" s="130"/>
      <c r="AH117" s="130"/>
      <c r="AI117" s="187" t="str">
        <f ca="1">IF(OR(D117='Opciones Tratamiento'!$H$2,D117='Opciones Tratamiento'!$H$4),IF(OR(O117='Tabla Impacto'!$C$11,O117='Tabla Impacto'!$D$11),"Leve",IF(OR(O117='Tabla Impacto'!$C$12,O117='Tabla Impacto'!$D$12),"Menor",IF(OR(O117='Tabla Impacto'!$C$13,O117='Tabla Impacto'!$D$13),"Moderado",IF(OR(O117='Tabla Impacto'!$C$14,O117='Tabla Impacto'!$D$14),"Mayor",IF(OR(O117='Tabla Impacto'!$C$15,O117='Tabla Impacto'!$D$15),"Catastrófico",""))))),IF(D117='Opciones Tratamiento'!$H$3,IF(COUNTIF('Mapa final'!P117:AH117,"Si")&lt;=5,"Moderado",IF(AND(COUNTIF('Mapa final'!P117:AH117,"Si")&gt;5,COUNTIF('Mapa final'!P117:AH117,"Si")&lt;=10),"Mayor",IF(COUNTIF('Mapa final'!P117:AH117,"Si")&gt;10,"Catastrófico","")))))</f>
        <v>Moderado</v>
      </c>
      <c r="AJ117" s="188">
        <f ca="1">IF(AI117="","",IF(AI117="Leve",0.2,IF(AI117="Menor",0.4,IF(AI117="Moderado",0.6,IF(AI117="Mayor",0.8,IF(AI117="Catastrófico",1,))))))</f>
        <v>0.6</v>
      </c>
      <c r="AK117" s="190" t="str">
        <f ca="1">IF(OR(AND(L117="Muy Baja",AI117="Leve"),AND(L117="Muy Baja",AI117="Menor"),AND(L117="Baja",AI117="Leve")),"Bajo",IF(OR(AND(L117="Muy baja",AI117="Moderado"),AND(L117="Baja",AI117="Menor"),AND(L117="Baja",AI117="Moderado"),AND(L117="Media",AI117="Leve"),AND(L117="Media",AI117="Menor"),AND(L117="Media",AI117="Moderado"),AND(L117="Alta",AI117="Leve"),AND(L117="Alta",AI117="Menor")),"Moderado",IF(OR(AND(L117="Muy Baja",AI117="Mayor"),AND(L117="Baja",AI117="Mayor"),AND(L117="Media",AI117="Mayor"),AND(L117="Alta",AI117="Moderado"),AND(L117="Alta",AI117="Mayor"),AND(L117="Muy Alta",AI117="Leve"),AND(L117="Muy Alta",AI117="Menor"),AND(L117="Muy Alta",AI117="Moderado"),AND(L117="Muy Alta",AI117="Mayor")),"Alto",IF(OR(AND(L117="Muy Baja",AI117="Catastrófico"),AND(L117="Baja",AI117="Catastrófico"),AND(L117="Media",AI117="Catastrófico"),AND(L117="Alta",AI117="Catastrófico"),AND(L117="Muy Alta",AI117="Catastrófico")),"Extremo",""))))</f>
        <v>Moderado</v>
      </c>
      <c r="AL117" s="127">
        <v>1</v>
      </c>
      <c r="AM117" s="127"/>
      <c r="AN117" s="127" t="e">
        <f>VLOOKUP(AM117,'Opciones Tratamiento'!$M$2:$O$37,3,FALSE)</f>
        <v>#N/A</v>
      </c>
      <c r="AO117" s="132" t="e">
        <f>VLOOKUP(AM117,'Opciones Tratamiento'!$M$2:$O$37,2,FALSE)</f>
        <v>#N/A</v>
      </c>
      <c r="AP117" s="133" t="s">
        <v>571</v>
      </c>
      <c r="AQ117" s="127" t="str">
        <f t="shared" ref="AQ117:AQ119" si="252">IF(OR(AR117="Preventivo",AR117="Detectivo"),"Probabilidad",IF(AR117="Correctivo","Impacto",""))</f>
        <v>Probabilidad</v>
      </c>
      <c r="AR117" s="134" t="s">
        <v>165</v>
      </c>
      <c r="AS117" s="134" t="s">
        <v>173</v>
      </c>
      <c r="AT117" s="135" t="str">
        <f t="shared" ref="AT117:AT119" si="253">IF(AND(AR117="Preventivo",AS117="Automático"),"50%",IF(AND(AR117="Preventivo",AS117="Manual"),"40%",IF(AND(AR117="Detectivo",AS117="Automático"),"40%",IF(AND(AR117="Detectivo",AS117="Manual"),"30%",IF(AND(AR117="Correctivo",AS117="Automático"),"35%",IF(AND(AR117="Correctivo",AS117="Manual"),"25%",""))))))</f>
        <v>40%</v>
      </c>
      <c r="AU117" s="134" t="s">
        <v>176</v>
      </c>
      <c r="AV117" s="134" t="s">
        <v>181</v>
      </c>
      <c r="AW117" s="134" t="s">
        <v>185</v>
      </c>
      <c r="AX117" s="136">
        <f>IFERROR(IF(AQ117="Probabilidad",(M117-(+M117*AT117)),IF(AQ117="Impacto",M117,"")),"")</f>
        <v>0.24</v>
      </c>
      <c r="AY117" s="137" t="str">
        <f t="shared" ref="AY117:AY119" si="254">IFERROR(IF(AX117="","",IF(AX117&lt;=0.2,"Muy Baja",IF(AX117&lt;=0.4,"Baja",IF(AX117&lt;=0.6,"Media",IF(AX117&lt;=0.8,"Alta","Muy Alta"))))),"")</f>
        <v>Baja</v>
      </c>
      <c r="AZ117" s="135">
        <f t="shared" ref="AZ117:AZ119" si="255">+AX117</f>
        <v>0.24</v>
      </c>
      <c r="BA117" s="137" t="str">
        <f t="shared" ref="BA117:BA119" ca="1" si="256">IFERROR(IF(BB117="","",IF(BB117&lt;=0.2,"Leve",IF(BB117&lt;=0.4,"Menor",IF(BB117&lt;=0.6,"Moderado",IF(BB117&lt;=0.8,"Mayor","Catastrófico"))))),"")</f>
        <v>Moderado</v>
      </c>
      <c r="BB117" s="135">
        <f ca="1">IFERROR(IF(AQ117="Impacto",(AJ117-(+AJ117*AT117)),IF(AQ117="Probabilidad",AJ117,"")),"")</f>
        <v>0.6</v>
      </c>
      <c r="BC117" s="138" t="str">
        <f t="shared" ref="BC117:BC119" ca="1" si="257">IFERROR(IF(OR(AND(AY117="Muy Baja",BA117="Leve"),AND(AY117="Muy Baja",BA117="Menor"),AND(AY117="Baja",BA117="Leve")),"Bajo",IF(OR(AND(AY117="Muy baja",BA117="Moderado"),AND(AY117="Baja",BA117="Menor"),AND(AY117="Baja",BA117="Moderado"),AND(AY117="Media",BA117="Leve"),AND(AY117="Media",BA117="Menor"),AND(AY117="Media",BA117="Moderado"),AND(AY117="Alta",BA117="Leve"),AND(AY117="Alta",BA117="Menor")),"Moderado",IF(OR(AND(AY117="Muy Baja",BA117="Mayor"),AND(AY117="Baja",BA117="Mayor"),AND(AY117="Media",BA117="Mayor"),AND(AY117="Alta",BA117="Moderado"),AND(AY117="Alta",BA117="Mayor"),AND(AY117="Muy Alta",BA117="Leve"),AND(AY117="Muy Alta",BA117="Menor"),AND(AY117="Muy Alta",BA117="Moderado"),AND(AY117="Muy Alta",BA117="Mayor")),"Alto",IF(OR(AND(AY117="Muy Baja",BA117="Catastrófico"),AND(AY117="Baja",BA117="Catastrófico"),AND(AY117="Media",BA117="Catastrófico"),AND(AY117="Alta",BA117="Catastrófico"),AND(AY117="Muy Alta",BA117="Catastrófico")),"Extremo","")))),"")</f>
        <v>Moderado</v>
      </c>
      <c r="BD117" s="134" t="s">
        <v>196</v>
      </c>
      <c r="BE117" s="120"/>
      <c r="BF117" s="127"/>
      <c r="BG117" s="139"/>
      <c r="BH117" s="139"/>
      <c r="BI117" s="120"/>
      <c r="BJ117" s="127"/>
      <c r="BK117" s="18"/>
      <c r="BL117" s="18"/>
      <c r="BM117" s="18"/>
      <c r="BN117" s="18"/>
      <c r="BO117" s="18"/>
      <c r="BP117" s="18"/>
      <c r="BQ117" s="18"/>
      <c r="BR117" s="18"/>
      <c r="BS117" s="18"/>
      <c r="BT117" s="18"/>
      <c r="BU117" s="18"/>
      <c r="BV117" s="18"/>
      <c r="BW117" s="18"/>
      <c r="BX117" s="18"/>
      <c r="BY117" s="18"/>
      <c r="BZ117" s="18"/>
      <c r="CA117" s="18"/>
      <c r="CB117" s="18"/>
      <c r="CC117" s="18"/>
      <c r="CD117" s="18"/>
    </row>
    <row r="118" spans="1:82" ht="86.45" customHeight="1" x14ac:dyDescent="0.3">
      <c r="A118" s="184"/>
      <c r="B118" s="184"/>
      <c r="C118" s="186"/>
      <c r="D118" s="186"/>
      <c r="E118" s="186"/>
      <c r="F118" s="186"/>
      <c r="G118" s="186"/>
      <c r="H118" s="186"/>
      <c r="I118" s="186"/>
      <c r="J118" s="186"/>
      <c r="K118" s="186"/>
      <c r="L118" s="186"/>
      <c r="M118" s="186"/>
      <c r="N118" s="186"/>
      <c r="O118" s="186"/>
      <c r="P118" s="130"/>
      <c r="Q118" s="130"/>
      <c r="R118" s="130"/>
      <c r="S118" s="130"/>
      <c r="T118" s="130"/>
      <c r="U118" s="140"/>
      <c r="V118" s="140"/>
      <c r="W118" s="140"/>
      <c r="X118" s="140"/>
      <c r="Y118" s="140"/>
      <c r="Z118" s="140"/>
      <c r="AA118" s="140"/>
      <c r="AB118" s="140"/>
      <c r="AC118" s="140"/>
      <c r="AD118" s="130"/>
      <c r="AE118" s="130"/>
      <c r="AF118" s="130"/>
      <c r="AG118" s="130"/>
      <c r="AH118" s="130"/>
      <c r="AI118" s="186"/>
      <c r="AJ118" s="186"/>
      <c r="AK118" s="186"/>
      <c r="AL118" s="127">
        <v>2</v>
      </c>
      <c r="AM118" s="127"/>
      <c r="AN118" s="127" t="e">
        <f>VLOOKUP(AM118,'Opciones Tratamiento'!$M$2:$O$37,3,FALSE)</f>
        <v>#N/A</v>
      </c>
      <c r="AO118" s="132" t="e">
        <f>VLOOKUP(AM118,'Opciones Tratamiento'!$M$2:$O$37,2,FALSE)</f>
        <v>#N/A</v>
      </c>
      <c r="AP118" s="133" t="s">
        <v>572</v>
      </c>
      <c r="AQ118" s="127" t="str">
        <f t="shared" si="252"/>
        <v>Probabilidad</v>
      </c>
      <c r="AR118" s="134" t="s">
        <v>165</v>
      </c>
      <c r="AS118" s="134" t="s">
        <v>173</v>
      </c>
      <c r="AT118" s="135" t="str">
        <f t="shared" si="253"/>
        <v>40%</v>
      </c>
      <c r="AU118" s="134" t="s">
        <v>176</v>
      </c>
      <c r="AV118" s="134" t="s">
        <v>181</v>
      </c>
      <c r="AW118" s="134" t="s">
        <v>185</v>
      </c>
      <c r="AX118" s="136">
        <f>IFERROR(IF(AND(AQ117="Probabilidad",AQ118="Probabilidad"),(AZ117-(+AZ117*AT118)),IF(AQ118="Probabilidad",(M117-(+M117*AT118)),IF(AQ118="Impacto",AZ117,""))),"")</f>
        <v>0.14399999999999999</v>
      </c>
      <c r="AY118" s="137" t="str">
        <f t="shared" si="254"/>
        <v>Muy Baja</v>
      </c>
      <c r="AZ118" s="135">
        <f t="shared" si="255"/>
        <v>0.14399999999999999</v>
      </c>
      <c r="BA118" s="137" t="str">
        <f t="shared" ca="1" si="256"/>
        <v>Moderado</v>
      </c>
      <c r="BB118" s="135">
        <f ca="1">IFERROR(IF(AND(AQ117="Impacto",AQ118="Impacto"),(BB114-(+BB114*AT118)),IF(AQ118="Impacto",($AJ$25-(+$AJ$25*AT118)),IF(AQ118="Probabilidad",BB114,""))),"")</f>
        <v>0.6</v>
      </c>
      <c r="BC118" s="138" t="str">
        <f t="shared" ca="1" si="257"/>
        <v>Moderado</v>
      </c>
      <c r="BD118" s="134" t="s">
        <v>196</v>
      </c>
      <c r="BE118" s="120"/>
      <c r="BF118" s="127"/>
      <c r="BG118" s="139"/>
      <c r="BH118" s="139"/>
      <c r="BI118" s="120"/>
      <c r="BJ118" s="127"/>
      <c r="BK118" s="24"/>
      <c r="BL118" s="24"/>
      <c r="BM118" s="24"/>
      <c r="BN118" s="24"/>
      <c r="BO118" s="24"/>
      <c r="BP118" s="24"/>
      <c r="BQ118" s="24"/>
      <c r="BR118" s="24"/>
      <c r="BS118" s="24"/>
      <c r="BT118" s="24"/>
      <c r="BU118" s="24"/>
      <c r="BV118" s="24"/>
      <c r="BW118" s="24"/>
      <c r="BX118" s="24"/>
      <c r="BY118" s="24"/>
      <c r="BZ118" s="24"/>
      <c r="CA118" s="24"/>
      <c r="CB118" s="24"/>
      <c r="CC118" s="24"/>
      <c r="CD118" s="24"/>
    </row>
    <row r="119" spans="1:82" ht="86.45" customHeight="1" x14ac:dyDescent="0.3">
      <c r="A119" s="184"/>
      <c r="B119" s="184"/>
      <c r="C119" s="186"/>
      <c r="D119" s="186"/>
      <c r="E119" s="186"/>
      <c r="F119" s="186"/>
      <c r="G119" s="186"/>
      <c r="H119" s="186"/>
      <c r="I119" s="186"/>
      <c r="J119" s="186"/>
      <c r="K119" s="186"/>
      <c r="L119" s="186"/>
      <c r="M119" s="186"/>
      <c r="N119" s="186"/>
      <c r="O119" s="186"/>
      <c r="P119" s="130"/>
      <c r="Q119" s="130"/>
      <c r="R119" s="130"/>
      <c r="S119" s="130"/>
      <c r="T119" s="130"/>
      <c r="U119" s="140"/>
      <c r="V119" s="140"/>
      <c r="W119" s="140"/>
      <c r="X119" s="140"/>
      <c r="Y119" s="140"/>
      <c r="Z119" s="140"/>
      <c r="AA119" s="140"/>
      <c r="AB119" s="140"/>
      <c r="AC119" s="140"/>
      <c r="AD119" s="130"/>
      <c r="AE119" s="130"/>
      <c r="AF119" s="130"/>
      <c r="AG119" s="130"/>
      <c r="AH119" s="130"/>
      <c r="AI119" s="186"/>
      <c r="AJ119" s="186"/>
      <c r="AK119" s="186"/>
      <c r="AL119" s="127">
        <v>3</v>
      </c>
      <c r="AM119" s="127"/>
      <c r="AN119" s="127" t="e">
        <f>VLOOKUP(AM119,'Opciones Tratamiento'!$M$2:$O$37,3,FALSE)</f>
        <v>#N/A</v>
      </c>
      <c r="AO119" s="132" t="e">
        <f>VLOOKUP(AM119,'Opciones Tratamiento'!$M$2:$O$37,2,FALSE)</f>
        <v>#N/A</v>
      </c>
      <c r="AP119" s="133" t="s">
        <v>573</v>
      </c>
      <c r="AQ119" s="127" t="str">
        <f t="shared" si="252"/>
        <v>Probabilidad</v>
      </c>
      <c r="AR119" s="134" t="s">
        <v>165</v>
      </c>
      <c r="AS119" s="134" t="s">
        <v>173</v>
      </c>
      <c r="AT119" s="135" t="str">
        <f t="shared" si="253"/>
        <v>40%</v>
      </c>
      <c r="AU119" s="134" t="s">
        <v>176</v>
      </c>
      <c r="AV119" s="134" t="s">
        <v>181</v>
      </c>
      <c r="AW119" s="134" t="s">
        <v>185</v>
      </c>
      <c r="AX119" s="136">
        <f t="shared" ref="AX119" si="258">IFERROR(IF(AND(AQ118="Probabilidad",AQ119="Probabilidad"),(AZ118-(+AZ118*AT119)),IF(AND(AQ118="Impacto",AQ119="Probabilidad"),(AZ117-(+AZ117*AT119)),IF(AQ119="Impacto",AZ118,""))),"")</f>
        <v>8.6399999999999991E-2</v>
      </c>
      <c r="AY119" s="137" t="str">
        <f t="shared" si="254"/>
        <v>Muy Baja</v>
      </c>
      <c r="AZ119" s="135">
        <f t="shared" si="255"/>
        <v>8.6399999999999991E-2</v>
      </c>
      <c r="BA119" s="137" t="str">
        <f t="shared" ca="1" si="256"/>
        <v>Moderado</v>
      </c>
      <c r="BB119" s="135">
        <f t="shared" ref="BB119" ca="1" si="259">IFERROR(IF(AND(AQ118="Impacto",AQ119="Impacto"),(BB118-(+BB118*AT119)),IF(AND(AQ118="Probabilidad",AQ119="Impacto"),(BB117-(+BB117*AT119)),IF(AQ119="Probabilidad",BB118,""))),"")</f>
        <v>0.6</v>
      </c>
      <c r="BC119" s="138" t="str">
        <f t="shared" ca="1" si="257"/>
        <v>Moderado</v>
      </c>
      <c r="BD119" s="134" t="s">
        <v>190</v>
      </c>
      <c r="BE119" s="120"/>
      <c r="BF119" s="127"/>
      <c r="BG119" s="139"/>
      <c r="BH119" s="139"/>
      <c r="BI119" s="120"/>
      <c r="BJ119" s="127"/>
      <c r="BK119" s="24"/>
      <c r="BL119" s="24"/>
      <c r="BM119" s="24"/>
      <c r="BN119" s="24"/>
      <c r="BO119" s="24"/>
      <c r="BP119" s="24"/>
      <c r="BQ119" s="24"/>
      <c r="BR119" s="24"/>
      <c r="BS119" s="24"/>
      <c r="BT119" s="24"/>
      <c r="BU119" s="24"/>
      <c r="BV119" s="24"/>
      <c r="BW119" s="24"/>
      <c r="BX119" s="24"/>
      <c r="BY119" s="24"/>
      <c r="BZ119" s="24"/>
      <c r="CA119" s="24"/>
      <c r="CB119" s="24"/>
      <c r="CC119" s="24"/>
      <c r="CD119" s="24"/>
    </row>
    <row r="120" spans="1:82" ht="49.5" customHeight="1" x14ac:dyDescent="0.3">
      <c r="B120" s="25"/>
      <c r="C120" s="194" t="s">
        <v>89</v>
      </c>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6"/>
      <c r="BK120" s="24"/>
      <c r="BL120" s="24"/>
      <c r="BM120" s="24"/>
      <c r="BN120" s="24"/>
      <c r="BO120" s="24"/>
      <c r="BP120" s="24"/>
      <c r="BQ120" s="24"/>
      <c r="BR120" s="24"/>
      <c r="BS120" s="24"/>
      <c r="BT120" s="24"/>
      <c r="BU120" s="24"/>
      <c r="BV120" s="24"/>
      <c r="BW120" s="24"/>
      <c r="BX120" s="24"/>
      <c r="BY120" s="24"/>
      <c r="BZ120" s="24"/>
      <c r="CA120" s="24"/>
      <c r="CB120" s="24"/>
      <c r="CC120" s="24"/>
      <c r="CD120" s="24"/>
    </row>
    <row r="121" spans="1:82" ht="16.5" customHeight="1" x14ac:dyDescent="0.3">
      <c r="B121" s="26"/>
      <c r="C121" s="26"/>
      <c r="D121" s="26"/>
      <c r="E121" s="26"/>
      <c r="F121" s="26"/>
      <c r="G121" s="26"/>
      <c r="H121" s="24"/>
      <c r="I121" s="27"/>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row>
    <row r="122" spans="1:82" ht="16.5" customHeight="1" x14ac:dyDescent="0.3">
      <c r="B122" s="24"/>
      <c r="C122" s="28" t="s">
        <v>90</v>
      </c>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row>
    <row r="123" spans="1:82" ht="16.5" customHeight="1" x14ac:dyDescent="0.3">
      <c r="B123" s="26"/>
      <c r="C123" s="26"/>
      <c r="D123" s="26"/>
      <c r="E123" s="26"/>
      <c r="F123" s="26"/>
      <c r="G123" s="26"/>
      <c r="H123" s="24"/>
      <c r="I123" s="27"/>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row>
    <row r="124" spans="1:82" ht="16.5" customHeight="1" x14ac:dyDescent="0.3">
      <c r="B124" s="26"/>
      <c r="C124" s="26"/>
      <c r="D124" s="26"/>
      <c r="E124" s="26"/>
      <c r="F124" s="26"/>
      <c r="G124" s="26"/>
      <c r="H124" s="24"/>
      <c r="I124" s="27"/>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row>
    <row r="125" spans="1:82" ht="16.5" customHeight="1" x14ac:dyDescent="0.3">
      <c r="B125" s="26"/>
      <c r="C125" s="26"/>
      <c r="D125" s="26"/>
      <c r="E125" s="26"/>
      <c r="F125" s="26"/>
      <c r="G125" s="26"/>
      <c r="H125" s="24"/>
      <c r="I125" s="27"/>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row>
    <row r="126" spans="1:82" ht="16.5" customHeight="1" x14ac:dyDescent="0.3">
      <c r="B126" s="26"/>
      <c r="C126" s="26"/>
      <c r="D126" s="26"/>
      <c r="E126" s="26"/>
      <c r="F126" s="26"/>
      <c r="G126" s="26"/>
      <c r="H126" s="24"/>
      <c r="I126" s="27"/>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row>
    <row r="127" spans="1:82" ht="16.5" customHeight="1" x14ac:dyDescent="0.3">
      <c r="B127" s="26"/>
      <c r="C127" s="26"/>
      <c r="D127" s="26"/>
      <c r="E127" s="26"/>
      <c r="F127" s="26"/>
      <c r="G127" s="26"/>
      <c r="H127" s="24"/>
      <c r="I127" s="27"/>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row>
    <row r="128" spans="1:82" ht="16.5" customHeight="1" x14ac:dyDescent="0.3">
      <c r="B128" s="26"/>
      <c r="C128" s="26"/>
      <c r="D128" s="26"/>
      <c r="E128" s="26"/>
      <c r="F128" s="26"/>
      <c r="G128" s="26"/>
      <c r="H128" s="24"/>
      <c r="I128" s="27"/>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row>
    <row r="129" spans="2:82" ht="16.5" customHeight="1" x14ac:dyDescent="0.3">
      <c r="B129" s="26"/>
      <c r="C129" s="26"/>
      <c r="D129" s="26"/>
      <c r="E129" s="26"/>
      <c r="F129" s="26"/>
      <c r="G129" s="26"/>
      <c r="H129" s="24"/>
      <c r="I129" s="27"/>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row>
    <row r="130" spans="2:82" ht="16.5" customHeight="1" x14ac:dyDescent="0.3">
      <c r="B130" s="26"/>
      <c r="C130" s="26"/>
      <c r="D130" s="26"/>
      <c r="E130" s="26"/>
      <c r="F130" s="26"/>
      <c r="G130" s="26"/>
      <c r="H130" s="24"/>
      <c r="I130" s="27"/>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row>
    <row r="131" spans="2:82" ht="16.5" customHeight="1" x14ac:dyDescent="0.3">
      <c r="B131" s="26"/>
      <c r="C131" s="26"/>
      <c r="D131" s="26"/>
      <c r="E131" s="26"/>
      <c r="F131" s="26"/>
      <c r="G131" s="26"/>
      <c r="H131" s="24"/>
      <c r="I131" s="27"/>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row>
    <row r="132" spans="2:82" ht="16.5" customHeight="1" x14ac:dyDescent="0.3">
      <c r="B132" s="26"/>
      <c r="C132" s="26"/>
      <c r="D132" s="26"/>
      <c r="E132" s="26"/>
      <c r="F132" s="26"/>
      <c r="G132" s="26"/>
      <c r="H132" s="24"/>
      <c r="I132" s="27"/>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row>
    <row r="133" spans="2:82" ht="16.5" customHeight="1" x14ac:dyDescent="0.3">
      <c r="B133" s="26"/>
      <c r="C133" s="26"/>
      <c r="D133" s="26"/>
      <c r="E133" s="26"/>
      <c r="F133" s="26"/>
      <c r="G133" s="26"/>
      <c r="H133" s="24"/>
      <c r="I133" s="27"/>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row>
    <row r="134" spans="2:82" ht="16.5" customHeight="1" x14ac:dyDescent="0.3">
      <c r="B134" s="26"/>
      <c r="C134" s="26"/>
      <c r="D134" s="26"/>
      <c r="E134" s="26"/>
      <c r="F134" s="26"/>
      <c r="G134" s="26"/>
      <c r="H134" s="24"/>
      <c r="I134" s="27"/>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row>
    <row r="135" spans="2:82" ht="16.5" customHeight="1" x14ac:dyDescent="0.3">
      <c r="B135" s="26"/>
      <c r="C135" s="26"/>
      <c r="D135" s="26"/>
      <c r="E135" s="26"/>
      <c r="F135" s="26"/>
      <c r="G135" s="26"/>
      <c r="H135" s="24"/>
      <c r="I135" s="27"/>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row>
    <row r="136" spans="2:82" ht="16.5" customHeight="1" x14ac:dyDescent="0.3">
      <c r="B136" s="26"/>
      <c r="C136" s="26"/>
      <c r="D136" s="26"/>
      <c r="E136" s="26"/>
      <c r="F136" s="26"/>
      <c r="G136" s="26"/>
      <c r="H136" s="24"/>
      <c r="I136" s="27"/>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row>
    <row r="137" spans="2:82" ht="16.5" customHeight="1" x14ac:dyDescent="0.3">
      <c r="B137" s="26"/>
      <c r="C137" s="26"/>
      <c r="D137" s="26"/>
      <c r="E137" s="26"/>
      <c r="F137" s="26"/>
      <c r="G137" s="26"/>
      <c r="H137" s="24"/>
      <c r="I137" s="27"/>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row>
    <row r="138" spans="2:82" ht="16.5" customHeight="1" x14ac:dyDescent="0.3">
      <c r="B138" s="26"/>
      <c r="C138" s="26"/>
      <c r="D138" s="26"/>
      <c r="E138" s="26"/>
      <c r="F138" s="26"/>
      <c r="G138" s="26"/>
      <c r="H138" s="24"/>
      <c r="I138" s="27"/>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row>
    <row r="139" spans="2:82" ht="16.5" customHeight="1" x14ac:dyDescent="0.3">
      <c r="B139" s="26"/>
      <c r="C139" s="26"/>
      <c r="D139" s="26"/>
      <c r="E139" s="26"/>
      <c r="F139" s="26"/>
      <c r="G139" s="26"/>
      <c r="H139" s="24"/>
      <c r="I139" s="27"/>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row>
    <row r="140" spans="2:82" ht="16.5" customHeight="1" x14ac:dyDescent="0.3">
      <c r="B140" s="26"/>
      <c r="C140" s="26"/>
      <c r="D140" s="26"/>
      <c r="E140" s="26"/>
      <c r="F140" s="26"/>
      <c r="G140" s="26"/>
      <c r="H140" s="24"/>
      <c r="I140" s="27"/>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row>
    <row r="141" spans="2:82" ht="16.5" customHeight="1" x14ac:dyDescent="0.3">
      <c r="B141" s="26"/>
      <c r="C141" s="26"/>
      <c r="D141" s="26"/>
      <c r="E141" s="26"/>
      <c r="F141" s="26"/>
      <c r="G141" s="26"/>
      <c r="H141" s="24"/>
      <c r="I141" s="27"/>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row>
    <row r="142" spans="2:82" ht="16.5" customHeight="1" x14ac:dyDescent="0.3">
      <c r="B142" s="26"/>
      <c r="C142" s="26"/>
      <c r="D142" s="26"/>
      <c r="E142" s="26"/>
      <c r="F142" s="26"/>
      <c r="G142" s="26"/>
      <c r="H142" s="24"/>
      <c r="I142" s="27"/>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row>
    <row r="143" spans="2:82" ht="16.5" customHeight="1" x14ac:dyDescent="0.3">
      <c r="B143" s="26"/>
      <c r="C143" s="26"/>
      <c r="D143" s="26"/>
      <c r="E143" s="26"/>
      <c r="F143" s="26"/>
      <c r="G143" s="26"/>
      <c r="H143" s="24"/>
      <c r="I143" s="27"/>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row>
    <row r="144" spans="2:82" ht="16.5" customHeight="1" x14ac:dyDescent="0.3">
      <c r="B144" s="26"/>
      <c r="C144" s="26"/>
      <c r="D144" s="26"/>
      <c r="E144" s="26"/>
      <c r="F144" s="26"/>
      <c r="G144" s="26"/>
      <c r="H144" s="24"/>
      <c r="I144" s="27"/>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row>
    <row r="145" spans="2:82" ht="16.5" customHeight="1" x14ac:dyDescent="0.3">
      <c r="B145" s="26"/>
      <c r="C145" s="26"/>
      <c r="D145" s="26"/>
      <c r="E145" s="26"/>
      <c r="F145" s="26"/>
      <c r="G145" s="26"/>
      <c r="H145" s="24"/>
      <c r="I145" s="27"/>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row>
    <row r="146" spans="2:82" ht="16.5" customHeight="1" x14ac:dyDescent="0.3">
      <c r="B146" s="26"/>
      <c r="C146" s="26"/>
      <c r="D146" s="26"/>
      <c r="E146" s="26"/>
      <c r="F146" s="26"/>
      <c r="G146" s="26"/>
      <c r="H146" s="24"/>
      <c r="I146" s="27"/>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row>
    <row r="147" spans="2:82" ht="16.5" customHeight="1" x14ac:dyDescent="0.3">
      <c r="B147" s="26"/>
      <c r="C147" s="26"/>
      <c r="D147" s="26"/>
      <c r="E147" s="26"/>
      <c r="F147" s="26"/>
      <c r="G147" s="26"/>
      <c r="H147" s="24"/>
      <c r="I147" s="27"/>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row>
    <row r="148" spans="2:82" ht="16.5" customHeight="1" x14ac:dyDescent="0.3">
      <c r="B148" s="26"/>
      <c r="C148" s="26"/>
      <c r="D148" s="26"/>
      <c r="E148" s="26"/>
      <c r="F148" s="26"/>
      <c r="G148" s="26"/>
      <c r="H148" s="24"/>
      <c r="I148" s="27"/>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row>
    <row r="149" spans="2:82" ht="16.5" customHeight="1" x14ac:dyDescent="0.3">
      <c r="B149" s="26"/>
      <c r="C149" s="26"/>
      <c r="D149" s="26"/>
      <c r="E149" s="26"/>
      <c r="F149" s="26"/>
      <c r="G149" s="26"/>
      <c r="H149" s="24"/>
      <c r="I149" s="27"/>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row>
    <row r="150" spans="2:82" ht="16.5" customHeight="1" x14ac:dyDescent="0.3">
      <c r="B150" s="26"/>
      <c r="C150" s="26"/>
      <c r="D150" s="26"/>
      <c r="E150" s="26"/>
      <c r="F150" s="26"/>
      <c r="G150" s="26"/>
      <c r="H150" s="24"/>
      <c r="I150" s="27"/>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row>
    <row r="151" spans="2:82" ht="16.5" customHeight="1" x14ac:dyDescent="0.3">
      <c r="B151" s="26"/>
      <c r="C151" s="26"/>
      <c r="D151" s="26"/>
      <c r="E151" s="26"/>
      <c r="F151" s="26"/>
      <c r="G151" s="26"/>
      <c r="H151" s="24"/>
      <c r="I151" s="27"/>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row>
    <row r="152" spans="2:82" ht="16.5" customHeight="1" x14ac:dyDescent="0.3">
      <c r="B152" s="26"/>
      <c r="C152" s="26"/>
      <c r="D152" s="26"/>
      <c r="E152" s="26"/>
      <c r="F152" s="26"/>
      <c r="G152" s="26"/>
      <c r="H152" s="24"/>
      <c r="I152" s="27"/>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row>
    <row r="153" spans="2:82" ht="16.5" customHeight="1" x14ac:dyDescent="0.3">
      <c r="B153" s="26"/>
      <c r="C153" s="26"/>
      <c r="D153" s="26"/>
      <c r="E153" s="26"/>
      <c r="F153" s="26"/>
      <c r="G153" s="26"/>
      <c r="H153" s="24"/>
      <c r="I153" s="27"/>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row>
    <row r="154" spans="2:82" ht="16.5" customHeight="1" x14ac:dyDescent="0.3">
      <c r="B154" s="26"/>
      <c r="C154" s="26"/>
      <c r="D154" s="26"/>
      <c r="E154" s="26"/>
      <c r="F154" s="26"/>
      <c r="G154" s="26"/>
      <c r="H154" s="24"/>
      <c r="I154" s="27"/>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row>
    <row r="155" spans="2:82" ht="16.5" customHeight="1" x14ac:dyDescent="0.3">
      <c r="B155" s="26"/>
      <c r="C155" s="26"/>
      <c r="D155" s="26"/>
      <c r="E155" s="26"/>
      <c r="F155" s="26"/>
      <c r="G155" s="26"/>
      <c r="H155" s="24"/>
      <c r="I155" s="27"/>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row>
    <row r="156" spans="2:82" ht="16.5" customHeight="1" x14ac:dyDescent="0.3">
      <c r="B156" s="26"/>
      <c r="C156" s="26"/>
      <c r="D156" s="26"/>
      <c r="E156" s="26"/>
      <c r="F156" s="26"/>
      <c r="G156" s="26"/>
      <c r="H156" s="24"/>
      <c r="I156" s="27"/>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row>
    <row r="157" spans="2:82" ht="16.5" customHeight="1" x14ac:dyDescent="0.3">
      <c r="B157" s="26"/>
      <c r="C157" s="26"/>
      <c r="D157" s="26"/>
      <c r="E157" s="26"/>
      <c r="F157" s="26"/>
      <c r="G157" s="26"/>
      <c r="H157" s="24"/>
      <c r="I157" s="27"/>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row>
    <row r="158" spans="2:82" ht="16.5" customHeight="1" x14ac:dyDescent="0.3">
      <c r="B158" s="26"/>
      <c r="C158" s="26"/>
      <c r="D158" s="26"/>
      <c r="E158" s="26"/>
      <c r="F158" s="26"/>
      <c r="G158" s="26"/>
      <c r="H158" s="24"/>
      <c r="I158" s="27"/>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row>
    <row r="159" spans="2:82" ht="16.5" customHeight="1" x14ac:dyDescent="0.3">
      <c r="B159" s="26"/>
      <c r="C159" s="26"/>
      <c r="D159" s="26"/>
      <c r="E159" s="26"/>
      <c r="F159" s="26"/>
      <c r="G159" s="26"/>
      <c r="H159" s="24"/>
      <c r="I159" s="27"/>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row>
    <row r="160" spans="2:82" ht="16.5" customHeight="1" x14ac:dyDescent="0.3">
      <c r="B160" s="26"/>
      <c r="C160" s="26"/>
      <c r="D160" s="26"/>
      <c r="E160" s="26"/>
      <c r="F160" s="26"/>
      <c r="G160" s="26"/>
      <c r="H160" s="24"/>
      <c r="I160" s="27"/>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row>
    <row r="161" spans="2:82" ht="16.5" customHeight="1" x14ac:dyDescent="0.3">
      <c r="B161" s="26"/>
      <c r="C161" s="26"/>
      <c r="D161" s="26"/>
      <c r="E161" s="26"/>
      <c r="F161" s="26"/>
      <c r="G161" s="26"/>
      <c r="H161" s="24"/>
      <c r="I161" s="27"/>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row>
    <row r="162" spans="2:82" ht="16.5" customHeight="1" x14ac:dyDescent="0.3">
      <c r="B162" s="26"/>
      <c r="C162" s="26"/>
      <c r="D162" s="26"/>
      <c r="E162" s="26"/>
      <c r="F162" s="26"/>
      <c r="G162" s="26"/>
      <c r="H162" s="24"/>
      <c r="I162" s="27"/>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row>
    <row r="163" spans="2:82" ht="16.5" customHeight="1" x14ac:dyDescent="0.3">
      <c r="B163" s="26"/>
      <c r="C163" s="26"/>
      <c r="D163" s="26"/>
      <c r="E163" s="26"/>
      <c r="F163" s="26"/>
      <c r="G163" s="26"/>
      <c r="H163" s="24"/>
      <c r="I163" s="27"/>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row>
    <row r="164" spans="2:82" ht="16.5" customHeight="1" x14ac:dyDescent="0.3">
      <c r="B164" s="26"/>
      <c r="C164" s="26"/>
      <c r="D164" s="26"/>
      <c r="E164" s="26"/>
      <c r="F164" s="26"/>
      <c r="G164" s="26"/>
      <c r="H164" s="24"/>
      <c r="I164" s="27"/>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row>
    <row r="165" spans="2:82" ht="16.5" customHeight="1" x14ac:dyDescent="0.3">
      <c r="B165" s="26"/>
      <c r="C165" s="26"/>
      <c r="D165" s="26"/>
      <c r="E165" s="26"/>
      <c r="F165" s="26"/>
      <c r="G165" s="26"/>
      <c r="H165" s="24"/>
      <c r="I165" s="27"/>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row>
    <row r="166" spans="2:82" ht="16.5" customHeight="1" x14ac:dyDescent="0.3">
      <c r="B166" s="26"/>
      <c r="C166" s="26"/>
      <c r="D166" s="26"/>
      <c r="E166" s="26"/>
      <c r="F166" s="26"/>
      <c r="G166" s="26"/>
      <c r="H166" s="24"/>
      <c r="I166" s="27"/>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row>
    <row r="167" spans="2:82" ht="16.5" customHeight="1" x14ac:dyDescent="0.3">
      <c r="B167" s="26"/>
      <c r="C167" s="26"/>
      <c r="D167" s="26"/>
      <c r="E167" s="26"/>
      <c r="F167" s="26"/>
      <c r="G167" s="26"/>
      <c r="H167" s="24"/>
      <c r="I167" s="27"/>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row>
    <row r="168" spans="2:82" ht="16.5" customHeight="1" x14ac:dyDescent="0.3">
      <c r="B168" s="26"/>
      <c r="C168" s="26"/>
      <c r="D168" s="26"/>
      <c r="E168" s="26"/>
      <c r="F168" s="26"/>
      <c r="G168" s="26"/>
      <c r="H168" s="24"/>
      <c r="I168" s="27"/>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row>
    <row r="169" spans="2:82" ht="16.5" customHeight="1" x14ac:dyDescent="0.3">
      <c r="B169" s="26"/>
      <c r="C169" s="26"/>
      <c r="D169" s="26"/>
      <c r="E169" s="26"/>
      <c r="F169" s="26"/>
      <c r="G169" s="26"/>
      <c r="H169" s="24"/>
      <c r="I169" s="27"/>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row>
    <row r="170" spans="2:82" ht="16.5" customHeight="1" x14ac:dyDescent="0.3">
      <c r="B170" s="26"/>
      <c r="C170" s="26"/>
      <c r="D170" s="26"/>
      <c r="E170" s="26"/>
      <c r="F170" s="26"/>
      <c r="G170" s="26"/>
      <c r="H170" s="24"/>
      <c r="I170" s="27"/>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row>
    <row r="171" spans="2:82" ht="16.5" customHeight="1" x14ac:dyDescent="0.3">
      <c r="B171" s="26"/>
      <c r="C171" s="26"/>
      <c r="D171" s="26"/>
      <c r="E171" s="26"/>
      <c r="F171" s="26"/>
      <c r="G171" s="26"/>
      <c r="H171" s="24"/>
      <c r="I171" s="27"/>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row>
    <row r="172" spans="2:82" ht="16.5" customHeight="1" x14ac:dyDescent="0.3">
      <c r="B172" s="26"/>
      <c r="C172" s="26"/>
      <c r="D172" s="26"/>
      <c r="E172" s="26"/>
      <c r="F172" s="26"/>
      <c r="G172" s="26"/>
      <c r="H172" s="24"/>
      <c r="I172" s="27"/>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row>
    <row r="173" spans="2:82" ht="16.5" customHeight="1" x14ac:dyDescent="0.3">
      <c r="B173" s="26"/>
      <c r="C173" s="26"/>
      <c r="D173" s="26"/>
      <c r="E173" s="26"/>
      <c r="F173" s="26"/>
      <c r="G173" s="26"/>
      <c r="H173" s="24"/>
      <c r="I173" s="27"/>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row>
    <row r="174" spans="2:82" ht="16.5" customHeight="1" x14ac:dyDescent="0.3">
      <c r="B174" s="26"/>
      <c r="C174" s="26"/>
      <c r="D174" s="26"/>
      <c r="E174" s="26"/>
      <c r="F174" s="26"/>
      <c r="G174" s="26"/>
      <c r="H174" s="24"/>
      <c r="I174" s="27"/>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row>
    <row r="175" spans="2:82" ht="16.5" customHeight="1" x14ac:dyDescent="0.3">
      <c r="B175" s="26"/>
      <c r="C175" s="26"/>
      <c r="D175" s="26"/>
      <c r="E175" s="26"/>
      <c r="F175" s="26"/>
      <c r="G175" s="26"/>
      <c r="H175" s="24"/>
      <c r="I175" s="27"/>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row>
    <row r="176" spans="2:82" ht="16.5" customHeight="1" x14ac:dyDescent="0.3">
      <c r="B176" s="26"/>
      <c r="C176" s="26"/>
      <c r="D176" s="26"/>
      <c r="E176" s="26"/>
      <c r="F176" s="26"/>
      <c r="G176" s="26"/>
      <c r="H176" s="24"/>
      <c r="I176" s="27"/>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row>
    <row r="177" spans="2:82" ht="16.5" customHeight="1" x14ac:dyDescent="0.3">
      <c r="B177" s="26"/>
      <c r="C177" s="26"/>
      <c r="D177" s="26"/>
      <c r="E177" s="26"/>
      <c r="F177" s="26"/>
      <c r="G177" s="26"/>
      <c r="H177" s="24"/>
      <c r="I177" s="27"/>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row>
    <row r="178" spans="2:82" ht="16.5" customHeight="1" x14ac:dyDescent="0.3">
      <c r="B178" s="26"/>
      <c r="C178" s="26"/>
      <c r="D178" s="26"/>
      <c r="E178" s="26"/>
      <c r="F178" s="26"/>
      <c r="G178" s="26"/>
      <c r="H178" s="24"/>
      <c r="I178" s="27"/>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row>
    <row r="179" spans="2:82" ht="16.5" customHeight="1" x14ac:dyDescent="0.3">
      <c r="B179" s="26"/>
      <c r="C179" s="26"/>
      <c r="D179" s="26"/>
      <c r="E179" s="26"/>
      <c r="F179" s="26"/>
      <c r="G179" s="26"/>
      <c r="H179" s="24"/>
      <c r="I179" s="27"/>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row>
    <row r="180" spans="2:82" ht="16.5" customHeight="1" x14ac:dyDescent="0.3">
      <c r="B180" s="26"/>
      <c r="C180" s="26"/>
      <c r="D180" s="26"/>
      <c r="E180" s="26"/>
      <c r="F180" s="26"/>
      <c r="G180" s="26"/>
      <c r="H180" s="24"/>
      <c r="I180" s="27"/>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row>
    <row r="181" spans="2:82" ht="16.5" customHeight="1" x14ac:dyDescent="0.3">
      <c r="B181" s="26"/>
      <c r="C181" s="26"/>
      <c r="D181" s="26"/>
      <c r="E181" s="26"/>
      <c r="F181" s="26"/>
      <c r="G181" s="26"/>
      <c r="H181" s="24"/>
      <c r="I181" s="27"/>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row>
    <row r="182" spans="2:82" ht="16.5" customHeight="1" x14ac:dyDescent="0.3">
      <c r="B182" s="26"/>
      <c r="C182" s="26"/>
      <c r="D182" s="26"/>
      <c r="E182" s="26"/>
      <c r="F182" s="26"/>
      <c r="G182" s="26"/>
      <c r="H182" s="24"/>
      <c r="I182" s="27"/>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row>
    <row r="183" spans="2:82" ht="16.5" customHeight="1" x14ac:dyDescent="0.3">
      <c r="B183" s="26"/>
      <c r="C183" s="26"/>
      <c r="D183" s="26"/>
      <c r="E183" s="26"/>
      <c r="F183" s="26"/>
      <c r="G183" s="26"/>
      <c r="H183" s="24"/>
      <c r="I183" s="27"/>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row>
    <row r="184" spans="2:82" ht="16.5" customHeight="1" x14ac:dyDescent="0.3">
      <c r="B184" s="26"/>
      <c r="C184" s="26"/>
      <c r="D184" s="26"/>
      <c r="E184" s="26"/>
      <c r="F184" s="26"/>
      <c r="G184" s="26"/>
      <c r="H184" s="24"/>
      <c r="I184" s="27"/>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row>
    <row r="185" spans="2:82" ht="16.5" customHeight="1" x14ac:dyDescent="0.3">
      <c r="B185" s="26"/>
      <c r="C185" s="26"/>
      <c r="D185" s="26"/>
      <c r="E185" s="26"/>
      <c r="F185" s="26"/>
      <c r="G185" s="26"/>
      <c r="H185" s="24"/>
      <c r="I185" s="27"/>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row>
    <row r="186" spans="2:82" ht="16.5" customHeight="1" x14ac:dyDescent="0.3">
      <c r="B186" s="26"/>
      <c r="C186" s="26"/>
      <c r="D186" s="26"/>
      <c r="E186" s="26"/>
      <c r="F186" s="26"/>
      <c r="G186" s="26"/>
      <c r="H186" s="24"/>
      <c r="I186" s="27"/>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row>
    <row r="187" spans="2:82" ht="16.5" customHeight="1" x14ac:dyDescent="0.3">
      <c r="B187" s="26"/>
      <c r="C187" s="26"/>
      <c r="D187" s="26"/>
      <c r="E187" s="26"/>
      <c r="F187" s="26"/>
      <c r="G187" s="26"/>
      <c r="H187" s="24"/>
      <c r="I187" s="27"/>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row>
    <row r="188" spans="2:82" ht="16.5" customHeight="1" x14ac:dyDescent="0.3">
      <c r="B188" s="26"/>
      <c r="C188" s="26"/>
      <c r="D188" s="26"/>
      <c r="E188" s="26"/>
      <c r="F188" s="26"/>
      <c r="G188" s="26"/>
      <c r="H188" s="24"/>
      <c r="I188" s="27"/>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row>
    <row r="189" spans="2:82" ht="16.5" customHeight="1" x14ac:dyDescent="0.3">
      <c r="B189" s="26"/>
      <c r="C189" s="26"/>
      <c r="D189" s="26"/>
      <c r="E189" s="26"/>
      <c r="F189" s="26"/>
      <c r="G189" s="26"/>
      <c r="H189" s="24"/>
      <c r="I189" s="27"/>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row>
    <row r="190" spans="2:82" ht="16.5" customHeight="1" x14ac:dyDescent="0.3">
      <c r="B190" s="26"/>
      <c r="C190" s="26"/>
      <c r="D190" s="26"/>
      <c r="E190" s="26"/>
      <c r="F190" s="26"/>
      <c r="G190" s="26"/>
      <c r="H190" s="24"/>
      <c r="I190" s="27"/>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row>
    <row r="191" spans="2:82" ht="16.5" customHeight="1" x14ac:dyDescent="0.3">
      <c r="B191" s="26"/>
      <c r="C191" s="26"/>
      <c r="D191" s="26"/>
      <c r="E191" s="26"/>
      <c r="F191" s="26"/>
      <c r="G191" s="26"/>
      <c r="H191" s="24"/>
      <c r="I191" s="27"/>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row>
    <row r="192" spans="2:82" ht="16.5" customHeight="1" x14ac:dyDescent="0.3">
      <c r="B192" s="26"/>
      <c r="C192" s="26"/>
      <c r="D192" s="26"/>
      <c r="E192" s="26"/>
      <c r="F192" s="26"/>
      <c r="G192" s="26"/>
      <c r="H192" s="24"/>
      <c r="I192" s="27"/>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row>
    <row r="193" spans="2:82" ht="16.5" customHeight="1" x14ac:dyDescent="0.3">
      <c r="B193" s="26"/>
      <c r="C193" s="26"/>
      <c r="D193" s="26"/>
      <c r="E193" s="26"/>
      <c r="F193" s="26"/>
      <c r="G193" s="26"/>
      <c r="H193" s="24"/>
      <c r="I193" s="27"/>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row>
    <row r="194" spans="2:82" ht="16.5" customHeight="1" x14ac:dyDescent="0.3">
      <c r="B194" s="26"/>
      <c r="C194" s="26"/>
      <c r="D194" s="26"/>
      <c r="E194" s="26"/>
      <c r="F194" s="26"/>
      <c r="G194" s="26"/>
      <c r="H194" s="24"/>
      <c r="I194" s="27"/>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row>
    <row r="195" spans="2:82" ht="16.5" customHeight="1" x14ac:dyDescent="0.3">
      <c r="B195" s="26"/>
      <c r="C195" s="26"/>
      <c r="D195" s="26"/>
      <c r="E195" s="26"/>
      <c r="F195" s="26"/>
      <c r="G195" s="26"/>
      <c r="H195" s="24"/>
      <c r="I195" s="27"/>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row>
    <row r="196" spans="2:82" ht="16.5" customHeight="1" x14ac:dyDescent="0.3">
      <c r="B196" s="26"/>
      <c r="C196" s="26"/>
      <c r="D196" s="26"/>
      <c r="E196" s="26"/>
      <c r="F196" s="26"/>
      <c r="G196" s="26"/>
      <c r="H196" s="24"/>
      <c r="I196" s="27"/>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row>
    <row r="197" spans="2:82" ht="16.5" customHeight="1" x14ac:dyDescent="0.3">
      <c r="B197" s="26"/>
      <c r="C197" s="26"/>
      <c r="D197" s="26"/>
      <c r="E197" s="26"/>
      <c r="F197" s="26"/>
      <c r="G197" s="26"/>
      <c r="H197" s="24"/>
      <c r="I197" s="27"/>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row>
    <row r="198" spans="2:82" ht="16.5" customHeight="1" x14ac:dyDescent="0.3">
      <c r="B198" s="26"/>
      <c r="C198" s="26"/>
      <c r="D198" s="26"/>
      <c r="E198" s="26"/>
      <c r="F198" s="26"/>
      <c r="G198" s="26"/>
      <c r="H198" s="24"/>
      <c r="I198" s="27"/>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row>
    <row r="199" spans="2:82" ht="16.5" customHeight="1" x14ac:dyDescent="0.3">
      <c r="B199" s="26"/>
      <c r="C199" s="26"/>
      <c r="D199" s="26"/>
      <c r="E199" s="26"/>
      <c r="F199" s="26"/>
      <c r="G199" s="26"/>
      <c r="H199" s="24"/>
      <c r="I199" s="27"/>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row>
    <row r="200" spans="2:82" ht="16.5" customHeight="1" x14ac:dyDescent="0.3">
      <c r="B200" s="26"/>
      <c r="C200" s="26"/>
      <c r="D200" s="26"/>
      <c r="E200" s="26"/>
      <c r="F200" s="26"/>
      <c r="G200" s="26"/>
      <c r="H200" s="24"/>
      <c r="I200" s="27"/>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row>
    <row r="201" spans="2:82" ht="16.5" customHeight="1" x14ac:dyDescent="0.3">
      <c r="B201" s="26"/>
      <c r="C201" s="26"/>
      <c r="D201" s="26"/>
      <c r="E201" s="26"/>
      <c r="F201" s="26"/>
      <c r="G201" s="26"/>
      <c r="H201" s="24"/>
      <c r="I201" s="27"/>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row>
    <row r="202" spans="2:82" ht="16.5" customHeight="1" x14ac:dyDescent="0.3">
      <c r="B202" s="26"/>
      <c r="C202" s="26"/>
      <c r="D202" s="26"/>
      <c r="E202" s="26"/>
      <c r="F202" s="26"/>
      <c r="G202" s="26"/>
      <c r="H202" s="24"/>
      <c r="I202" s="27"/>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row>
    <row r="203" spans="2:82" ht="16.5" customHeight="1" x14ac:dyDescent="0.3">
      <c r="B203" s="26"/>
      <c r="C203" s="26"/>
      <c r="D203" s="26"/>
      <c r="E203" s="26"/>
      <c r="F203" s="26"/>
      <c r="G203" s="26"/>
      <c r="H203" s="24"/>
      <c r="I203" s="27"/>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row>
    <row r="204" spans="2:82" ht="16.5" customHeight="1" x14ac:dyDescent="0.3">
      <c r="B204" s="26"/>
      <c r="C204" s="26"/>
      <c r="D204" s="26"/>
      <c r="E204" s="26"/>
      <c r="F204" s="26"/>
      <c r="G204" s="26"/>
      <c r="H204" s="24"/>
      <c r="I204" s="27"/>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row>
    <row r="205" spans="2:82" ht="16.5" customHeight="1" x14ac:dyDescent="0.3">
      <c r="B205" s="26"/>
      <c r="C205" s="26"/>
      <c r="D205" s="26"/>
      <c r="E205" s="26"/>
      <c r="F205" s="26"/>
      <c r="G205" s="26"/>
      <c r="H205" s="24"/>
      <c r="I205" s="27"/>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row>
    <row r="206" spans="2:82" ht="16.5" customHeight="1" x14ac:dyDescent="0.3">
      <c r="B206" s="26"/>
      <c r="C206" s="26"/>
      <c r="D206" s="26"/>
      <c r="E206" s="26"/>
      <c r="F206" s="26"/>
      <c r="G206" s="26"/>
      <c r="H206" s="24"/>
      <c r="I206" s="27"/>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row>
    <row r="207" spans="2:82" ht="16.5" customHeight="1" x14ac:dyDescent="0.3">
      <c r="B207" s="26"/>
      <c r="C207" s="26"/>
      <c r="D207" s="26"/>
      <c r="E207" s="26"/>
      <c r="F207" s="26"/>
      <c r="G207" s="26"/>
      <c r="H207" s="24"/>
      <c r="I207" s="27"/>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row>
    <row r="208" spans="2:82" ht="16.5" customHeight="1" x14ac:dyDescent="0.3">
      <c r="B208" s="26"/>
      <c r="C208" s="26"/>
      <c r="D208" s="26"/>
      <c r="E208" s="26"/>
      <c r="F208" s="26"/>
      <c r="G208" s="26"/>
      <c r="H208" s="24"/>
      <c r="I208" s="27"/>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row>
    <row r="209" spans="2:82" ht="16.5" customHeight="1" x14ac:dyDescent="0.3">
      <c r="B209" s="26"/>
      <c r="C209" s="26"/>
      <c r="D209" s="26"/>
      <c r="E209" s="26"/>
      <c r="F209" s="26"/>
      <c r="G209" s="26"/>
      <c r="H209" s="24"/>
      <c r="I209" s="27"/>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row>
    <row r="210" spans="2:82" ht="16.5" customHeight="1" x14ac:dyDescent="0.3">
      <c r="B210" s="26"/>
      <c r="C210" s="26"/>
      <c r="D210" s="26"/>
      <c r="E210" s="26"/>
      <c r="F210" s="26"/>
      <c r="G210" s="26"/>
      <c r="H210" s="24"/>
      <c r="I210" s="27"/>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row>
    <row r="211" spans="2:82" ht="16.5" customHeight="1" x14ac:dyDescent="0.3">
      <c r="B211" s="26"/>
      <c r="C211" s="26"/>
      <c r="D211" s="26"/>
      <c r="E211" s="26"/>
      <c r="F211" s="26"/>
      <c r="G211" s="26"/>
      <c r="H211" s="24"/>
      <c r="I211" s="27"/>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row>
    <row r="212" spans="2:82" ht="16.5" customHeight="1" x14ac:dyDescent="0.3">
      <c r="B212" s="26"/>
      <c r="C212" s="26"/>
      <c r="D212" s="26"/>
      <c r="E212" s="26"/>
      <c r="F212" s="26"/>
      <c r="G212" s="26"/>
      <c r="H212" s="24"/>
      <c r="I212" s="27"/>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row>
    <row r="213" spans="2:82" ht="16.5" customHeight="1" x14ac:dyDescent="0.3">
      <c r="B213" s="26"/>
      <c r="C213" s="26"/>
      <c r="D213" s="26"/>
      <c r="E213" s="26"/>
      <c r="F213" s="26"/>
      <c r="G213" s="26"/>
      <c r="H213" s="24"/>
      <c r="I213" s="27"/>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row>
    <row r="214" spans="2:82" ht="16.5" customHeight="1" x14ac:dyDescent="0.3">
      <c r="B214" s="26"/>
      <c r="C214" s="26"/>
      <c r="D214" s="26"/>
      <c r="E214" s="26"/>
      <c r="F214" s="26"/>
      <c r="G214" s="26"/>
      <c r="H214" s="24"/>
      <c r="I214" s="27"/>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row>
    <row r="215" spans="2:82" ht="16.5" customHeight="1" x14ac:dyDescent="0.3">
      <c r="B215" s="26"/>
      <c r="C215" s="26"/>
      <c r="D215" s="26"/>
      <c r="E215" s="26"/>
      <c r="F215" s="26"/>
      <c r="G215" s="26"/>
      <c r="H215" s="24"/>
      <c r="I215" s="27"/>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row>
    <row r="216" spans="2:82" ht="16.5" customHeight="1" x14ac:dyDescent="0.3">
      <c r="B216" s="26"/>
      <c r="C216" s="26"/>
      <c r="D216" s="26"/>
      <c r="E216" s="26"/>
      <c r="F216" s="26"/>
      <c r="G216" s="26"/>
      <c r="H216" s="24"/>
      <c r="I216" s="27"/>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row>
    <row r="217" spans="2:82" ht="16.5" customHeight="1" x14ac:dyDescent="0.3">
      <c r="B217" s="26"/>
      <c r="C217" s="26"/>
      <c r="D217" s="26"/>
      <c r="E217" s="26"/>
      <c r="F217" s="26"/>
      <c r="G217" s="26"/>
      <c r="H217" s="24"/>
      <c r="I217" s="27"/>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row>
    <row r="218" spans="2:82" ht="16.5" customHeight="1" x14ac:dyDescent="0.3">
      <c r="B218" s="26"/>
      <c r="C218" s="26"/>
      <c r="D218" s="26"/>
      <c r="E218" s="26"/>
      <c r="F218" s="26"/>
      <c r="G218" s="26"/>
      <c r="H218" s="24"/>
      <c r="I218" s="27"/>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row>
    <row r="219" spans="2:82" ht="16.5" customHeight="1" x14ac:dyDescent="0.3">
      <c r="B219" s="26"/>
      <c r="C219" s="26"/>
      <c r="D219" s="26"/>
      <c r="E219" s="26"/>
      <c r="F219" s="26"/>
      <c r="G219" s="26"/>
      <c r="H219" s="24"/>
      <c r="I219" s="27"/>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row>
    <row r="220" spans="2:82" ht="16.5" customHeight="1" x14ac:dyDescent="0.3">
      <c r="B220" s="26"/>
      <c r="C220" s="26"/>
      <c r="D220" s="26"/>
      <c r="E220" s="26"/>
      <c r="F220" s="26"/>
      <c r="G220" s="26"/>
      <c r="H220" s="24"/>
      <c r="I220" s="27"/>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row>
    <row r="221" spans="2:82" ht="16.5" customHeight="1" x14ac:dyDescent="0.3">
      <c r="B221" s="26"/>
      <c r="C221" s="26"/>
      <c r="D221" s="26"/>
      <c r="E221" s="26"/>
      <c r="F221" s="26"/>
      <c r="G221" s="26"/>
      <c r="H221" s="24"/>
      <c r="I221" s="27"/>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row>
    <row r="222" spans="2:82" ht="16.5" customHeight="1" x14ac:dyDescent="0.3">
      <c r="B222" s="26"/>
      <c r="C222" s="26"/>
      <c r="D222" s="26"/>
      <c r="E222" s="26"/>
      <c r="F222" s="26"/>
      <c r="G222" s="26"/>
      <c r="H222" s="24"/>
      <c r="I222" s="27"/>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row>
    <row r="223" spans="2:82" ht="16.5" customHeight="1" x14ac:dyDescent="0.3">
      <c r="B223" s="26"/>
      <c r="C223" s="26"/>
      <c r="D223" s="26"/>
      <c r="E223" s="26"/>
      <c r="F223" s="26"/>
      <c r="G223" s="26"/>
      <c r="H223" s="24"/>
      <c r="I223" s="27"/>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row>
    <row r="224" spans="2:82" ht="16.5" customHeight="1" x14ac:dyDescent="0.3">
      <c r="B224" s="26"/>
      <c r="C224" s="26"/>
      <c r="D224" s="26"/>
      <c r="E224" s="26"/>
      <c r="F224" s="26"/>
      <c r="G224" s="26"/>
      <c r="H224" s="24"/>
      <c r="I224" s="27"/>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row>
    <row r="225" spans="2:82" ht="16.5" customHeight="1" x14ac:dyDescent="0.3">
      <c r="B225" s="26"/>
      <c r="C225" s="26"/>
      <c r="D225" s="26"/>
      <c r="E225" s="26"/>
      <c r="F225" s="26"/>
      <c r="G225" s="26"/>
      <c r="H225" s="24"/>
      <c r="I225" s="27"/>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row>
    <row r="226" spans="2:82" ht="16.5" customHeight="1" x14ac:dyDescent="0.3">
      <c r="B226" s="26"/>
      <c r="C226" s="26"/>
      <c r="D226" s="26"/>
      <c r="E226" s="26"/>
      <c r="F226" s="26"/>
      <c r="G226" s="26"/>
      <c r="H226" s="24"/>
      <c r="I226" s="27"/>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row>
    <row r="227" spans="2:82" ht="16.5" customHeight="1" x14ac:dyDescent="0.3">
      <c r="B227" s="26"/>
      <c r="C227" s="26"/>
      <c r="D227" s="26"/>
      <c r="E227" s="26"/>
      <c r="F227" s="26"/>
      <c r="G227" s="26"/>
      <c r="H227" s="24"/>
      <c r="I227" s="27"/>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row>
    <row r="228" spans="2:82" ht="16.5" customHeight="1" x14ac:dyDescent="0.3">
      <c r="B228" s="26"/>
      <c r="C228" s="26"/>
      <c r="D228" s="26"/>
      <c r="E228" s="26"/>
      <c r="F228" s="26"/>
      <c r="G228" s="26"/>
      <c r="H228" s="24"/>
      <c r="I228" s="27"/>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row>
    <row r="229" spans="2:82" ht="16.5" customHeight="1" x14ac:dyDescent="0.3">
      <c r="B229" s="26"/>
      <c r="C229" s="26"/>
      <c r="D229" s="26"/>
      <c r="E229" s="26"/>
      <c r="F229" s="26"/>
      <c r="G229" s="26"/>
      <c r="H229" s="24"/>
      <c r="I229" s="27"/>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row>
    <row r="230" spans="2:82" ht="16.5" customHeight="1" x14ac:dyDescent="0.3">
      <c r="B230" s="26"/>
      <c r="C230" s="26"/>
      <c r="D230" s="26"/>
      <c r="E230" s="26"/>
      <c r="F230" s="26"/>
      <c r="G230" s="26"/>
      <c r="H230" s="24"/>
      <c r="I230" s="27"/>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row>
    <row r="231" spans="2:82" ht="16.5" customHeight="1" x14ac:dyDescent="0.3">
      <c r="B231" s="26"/>
      <c r="C231" s="26"/>
      <c r="D231" s="26"/>
      <c r="E231" s="26"/>
      <c r="F231" s="26"/>
      <c r="G231" s="26"/>
      <c r="H231" s="24"/>
      <c r="I231" s="27"/>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row>
    <row r="232" spans="2:82" ht="16.5" customHeight="1" x14ac:dyDescent="0.3">
      <c r="B232" s="26"/>
      <c r="C232" s="26"/>
      <c r="D232" s="26"/>
      <c r="E232" s="26"/>
      <c r="F232" s="26"/>
      <c r="G232" s="26"/>
      <c r="H232" s="24"/>
      <c r="I232" s="27"/>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row>
    <row r="233" spans="2:82" ht="16.5" customHeight="1" x14ac:dyDescent="0.3">
      <c r="B233" s="26"/>
      <c r="C233" s="26"/>
      <c r="D233" s="26"/>
      <c r="E233" s="26"/>
      <c r="F233" s="26"/>
      <c r="G233" s="26"/>
      <c r="H233" s="24"/>
      <c r="I233" s="27"/>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row>
    <row r="234" spans="2:82" ht="16.5" customHeight="1" x14ac:dyDescent="0.3">
      <c r="B234" s="26"/>
      <c r="C234" s="26"/>
      <c r="D234" s="26"/>
      <c r="E234" s="26"/>
      <c r="F234" s="26"/>
      <c r="G234" s="26"/>
      <c r="H234" s="24"/>
      <c r="I234" s="27"/>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row>
    <row r="235" spans="2:82" ht="16.5" customHeight="1" x14ac:dyDescent="0.3">
      <c r="B235" s="26"/>
      <c r="C235" s="26"/>
      <c r="D235" s="26"/>
      <c r="E235" s="26"/>
      <c r="F235" s="26"/>
      <c r="G235" s="26"/>
      <c r="H235" s="24"/>
      <c r="I235" s="27"/>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row>
    <row r="236" spans="2:82" ht="16.5" customHeight="1" x14ac:dyDescent="0.3">
      <c r="B236" s="26"/>
      <c r="C236" s="26"/>
      <c r="D236" s="26"/>
      <c r="E236" s="26"/>
      <c r="F236" s="26"/>
      <c r="G236" s="26"/>
      <c r="H236" s="24"/>
      <c r="I236" s="27"/>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row>
    <row r="237" spans="2:82" ht="16.5" customHeight="1" x14ac:dyDescent="0.3">
      <c r="B237" s="26"/>
      <c r="C237" s="26"/>
      <c r="D237" s="26"/>
      <c r="E237" s="26"/>
      <c r="F237" s="26"/>
      <c r="G237" s="26"/>
      <c r="H237" s="24"/>
      <c r="I237" s="27"/>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row>
    <row r="238" spans="2:82" ht="16.5" customHeight="1" x14ac:dyDescent="0.3">
      <c r="B238" s="26"/>
      <c r="C238" s="26"/>
      <c r="D238" s="26"/>
      <c r="E238" s="26"/>
      <c r="F238" s="26"/>
      <c r="G238" s="26"/>
      <c r="H238" s="24"/>
      <c r="I238" s="27"/>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row>
    <row r="239" spans="2:82" ht="16.5" customHeight="1" x14ac:dyDescent="0.3">
      <c r="B239" s="26"/>
      <c r="C239" s="26"/>
      <c r="D239" s="26"/>
      <c r="E239" s="26"/>
      <c r="F239" s="26"/>
      <c r="G239" s="26"/>
      <c r="H239" s="24"/>
      <c r="I239" s="27"/>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row>
    <row r="240" spans="2:82" ht="16.5" customHeight="1" x14ac:dyDescent="0.3">
      <c r="B240" s="26"/>
      <c r="C240" s="26"/>
      <c r="D240" s="26"/>
      <c r="E240" s="26"/>
      <c r="F240" s="26"/>
      <c r="G240" s="26"/>
      <c r="H240" s="24"/>
      <c r="I240" s="27"/>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row>
    <row r="241" spans="2:82" ht="16.5" customHeight="1" x14ac:dyDescent="0.3">
      <c r="B241" s="26"/>
      <c r="C241" s="26"/>
      <c r="D241" s="26"/>
      <c r="E241" s="26"/>
      <c r="F241" s="26"/>
      <c r="G241" s="26"/>
      <c r="H241" s="24"/>
      <c r="I241" s="27"/>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row>
    <row r="242" spans="2:82" ht="16.5" customHeight="1" x14ac:dyDescent="0.3">
      <c r="B242" s="26"/>
      <c r="C242" s="26"/>
      <c r="D242" s="26"/>
      <c r="E242" s="26"/>
      <c r="F242" s="26"/>
      <c r="G242" s="26"/>
      <c r="H242" s="24"/>
      <c r="I242" s="27"/>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row>
    <row r="243" spans="2:82" ht="16.5" customHeight="1" x14ac:dyDescent="0.3">
      <c r="B243" s="26"/>
      <c r="C243" s="26"/>
      <c r="D243" s="26"/>
      <c r="E243" s="26"/>
      <c r="F243" s="26"/>
      <c r="G243" s="26"/>
      <c r="H243" s="24"/>
      <c r="I243" s="27"/>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row>
    <row r="244" spans="2:82" ht="16.5" customHeight="1" x14ac:dyDescent="0.3">
      <c r="B244" s="26"/>
      <c r="C244" s="26"/>
      <c r="D244" s="26"/>
      <c r="E244" s="26"/>
      <c r="F244" s="26"/>
      <c r="G244" s="26"/>
      <c r="H244" s="24"/>
      <c r="I244" s="27"/>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row>
    <row r="245" spans="2:82" ht="16.5" customHeight="1" x14ac:dyDescent="0.3">
      <c r="B245" s="26"/>
      <c r="C245" s="26"/>
      <c r="D245" s="26"/>
      <c r="E245" s="26"/>
      <c r="F245" s="26"/>
      <c r="G245" s="26"/>
      <c r="H245" s="24"/>
      <c r="I245" s="27"/>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row>
    <row r="246" spans="2:82" ht="16.5" customHeight="1" x14ac:dyDescent="0.3">
      <c r="B246" s="26"/>
      <c r="C246" s="26"/>
      <c r="D246" s="26"/>
      <c r="E246" s="26"/>
      <c r="F246" s="26"/>
      <c r="G246" s="26"/>
      <c r="H246" s="24"/>
      <c r="I246" s="27"/>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row>
    <row r="247" spans="2:82" ht="16.5" customHeight="1" x14ac:dyDescent="0.3">
      <c r="B247" s="26"/>
      <c r="C247" s="26"/>
      <c r="D247" s="26"/>
      <c r="E247" s="26"/>
      <c r="F247" s="26"/>
      <c r="G247" s="26"/>
      <c r="H247" s="24"/>
      <c r="I247" s="27"/>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row>
    <row r="248" spans="2:82" ht="16.5" customHeight="1" x14ac:dyDescent="0.3">
      <c r="B248" s="26"/>
      <c r="C248" s="26"/>
      <c r="D248" s="26"/>
      <c r="E248" s="26"/>
      <c r="F248" s="26"/>
      <c r="G248" s="26"/>
      <c r="H248" s="24"/>
      <c r="I248" s="27"/>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row>
    <row r="249" spans="2:82" ht="16.5" customHeight="1" x14ac:dyDescent="0.3">
      <c r="B249" s="26"/>
      <c r="C249" s="26"/>
      <c r="D249" s="26"/>
      <c r="E249" s="26"/>
      <c r="F249" s="26"/>
      <c r="G249" s="26"/>
      <c r="H249" s="24"/>
      <c r="I249" s="27"/>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row>
    <row r="250" spans="2:82" ht="16.5" customHeight="1" x14ac:dyDescent="0.3">
      <c r="B250" s="26"/>
      <c r="C250" s="26"/>
      <c r="D250" s="26"/>
      <c r="E250" s="26"/>
      <c r="F250" s="26"/>
      <c r="G250" s="26"/>
      <c r="H250" s="24"/>
      <c r="I250" s="27"/>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row>
    <row r="251" spans="2:82" ht="16.5" customHeight="1" x14ac:dyDescent="0.3">
      <c r="B251" s="26"/>
      <c r="C251" s="26"/>
      <c r="D251" s="26"/>
      <c r="E251" s="26"/>
      <c r="F251" s="26"/>
      <c r="G251" s="26"/>
      <c r="H251" s="24"/>
      <c r="I251" s="27"/>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row>
    <row r="252" spans="2:82" ht="16.5" customHeight="1" x14ac:dyDescent="0.3">
      <c r="B252" s="26"/>
      <c r="C252" s="26"/>
      <c r="D252" s="26"/>
      <c r="E252" s="26"/>
      <c r="F252" s="26"/>
      <c r="G252" s="26"/>
      <c r="H252" s="24"/>
      <c r="I252" s="27"/>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row>
    <row r="253" spans="2:82" ht="16.5" customHeight="1" x14ac:dyDescent="0.3">
      <c r="B253" s="26"/>
      <c r="C253" s="26"/>
      <c r="D253" s="26"/>
      <c r="E253" s="26"/>
      <c r="F253" s="26"/>
      <c r="G253" s="26"/>
      <c r="H253" s="24"/>
      <c r="I253" s="27"/>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row>
    <row r="254" spans="2:82" ht="16.5" customHeight="1" x14ac:dyDescent="0.3">
      <c r="B254" s="26"/>
      <c r="C254" s="26"/>
      <c r="D254" s="26"/>
      <c r="E254" s="26"/>
      <c r="F254" s="26"/>
      <c r="G254" s="26"/>
      <c r="H254" s="24"/>
      <c r="I254" s="27"/>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row>
    <row r="255" spans="2:82" ht="16.5" customHeight="1" x14ac:dyDescent="0.3">
      <c r="B255" s="26"/>
      <c r="C255" s="26"/>
      <c r="D255" s="26"/>
      <c r="E255" s="26"/>
      <c r="F255" s="26"/>
      <c r="G255" s="26"/>
      <c r="H255" s="24"/>
      <c r="I255" s="27"/>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row>
    <row r="256" spans="2:82" ht="16.5" customHeight="1" x14ac:dyDescent="0.3">
      <c r="B256" s="26"/>
      <c r="C256" s="26"/>
      <c r="D256" s="26"/>
      <c r="E256" s="26"/>
      <c r="F256" s="26"/>
      <c r="G256" s="26"/>
      <c r="H256" s="24"/>
      <c r="I256" s="27"/>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row>
    <row r="257" spans="2:82" ht="16.5" customHeight="1" x14ac:dyDescent="0.3">
      <c r="B257" s="26"/>
      <c r="C257" s="26"/>
      <c r="D257" s="26"/>
      <c r="E257" s="26"/>
      <c r="F257" s="26"/>
      <c r="G257" s="26"/>
      <c r="H257" s="24"/>
      <c r="I257" s="27"/>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row>
    <row r="258" spans="2:82" ht="16.5" customHeight="1" x14ac:dyDescent="0.3">
      <c r="B258" s="26"/>
      <c r="C258" s="26"/>
      <c r="D258" s="26"/>
      <c r="E258" s="26"/>
      <c r="F258" s="26"/>
      <c r="G258" s="26"/>
      <c r="H258" s="24"/>
      <c r="I258" s="27"/>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row>
    <row r="259" spans="2:82" ht="16.5" customHeight="1" x14ac:dyDescent="0.3">
      <c r="B259" s="26"/>
      <c r="C259" s="26"/>
      <c r="D259" s="26"/>
      <c r="E259" s="26"/>
      <c r="F259" s="26"/>
      <c r="G259" s="26"/>
      <c r="H259" s="24"/>
      <c r="I259" s="27"/>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row>
    <row r="260" spans="2:82" ht="16.5" customHeight="1" x14ac:dyDescent="0.3">
      <c r="B260" s="26"/>
      <c r="C260" s="26"/>
      <c r="D260" s="26"/>
      <c r="E260" s="26"/>
      <c r="F260" s="26"/>
      <c r="G260" s="26"/>
      <c r="H260" s="24"/>
      <c r="I260" s="27"/>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row>
    <row r="261" spans="2:82" ht="16.5" customHeight="1" x14ac:dyDescent="0.3">
      <c r="B261" s="26"/>
      <c r="C261" s="26"/>
      <c r="D261" s="26"/>
      <c r="E261" s="26"/>
      <c r="F261" s="26"/>
      <c r="G261" s="26"/>
      <c r="H261" s="24"/>
      <c r="I261" s="27"/>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row>
    <row r="262" spans="2:82" ht="16.5" customHeight="1" x14ac:dyDescent="0.3">
      <c r="B262" s="26"/>
      <c r="C262" s="26"/>
      <c r="D262" s="26"/>
      <c r="E262" s="26"/>
      <c r="F262" s="26"/>
      <c r="G262" s="26"/>
      <c r="H262" s="24"/>
      <c r="I262" s="27"/>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row>
    <row r="263" spans="2:82" ht="16.5" customHeight="1" x14ac:dyDescent="0.3">
      <c r="B263" s="26"/>
      <c r="C263" s="26"/>
      <c r="D263" s="26"/>
      <c r="E263" s="26"/>
      <c r="F263" s="26"/>
      <c r="G263" s="26"/>
      <c r="H263" s="24"/>
      <c r="I263" s="27"/>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row>
    <row r="264" spans="2:82" ht="16.5" customHeight="1" x14ac:dyDescent="0.3">
      <c r="B264" s="26"/>
      <c r="C264" s="26"/>
      <c r="D264" s="26"/>
      <c r="E264" s="26"/>
      <c r="F264" s="26"/>
      <c r="G264" s="26"/>
      <c r="H264" s="24"/>
      <c r="I264" s="27"/>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row>
    <row r="265" spans="2:82" ht="16.5" customHeight="1" x14ac:dyDescent="0.3">
      <c r="B265" s="26"/>
      <c r="C265" s="26"/>
      <c r="D265" s="26"/>
      <c r="E265" s="26"/>
      <c r="F265" s="26"/>
      <c r="G265" s="26"/>
      <c r="H265" s="24"/>
      <c r="I265" s="27"/>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row>
    <row r="266" spans="2:82" ht="16.5" customHeight="1" x14ac:dyDescent="0.3">
      <c r="B266" s="26"/>
      <c r="C266" s="26"/>
      <c r="D266" s="26"/>
      <c r="E266" s="26"/>
      <c r="F266" s="26"/>
      <c r="G266" s="26"/>
      <c r="H266" s="24"/>
      <c r="I266" s="27"/>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row>
    <row r="267" spans="2:82" ht="16.5" customHeight="1" x14ac:dyDescent="0.3">
      <c r="B267" s="26"/>
      <c r="C267" s="26"/>
      <c r="D267" s="26"/>
      <c r="E267" s="26"/>
      <c r="F267" s="26"/>
      <c r="G267" s="26"/>
      <c r="H267" s="24"/>
      <c r="I267" s="27"/>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row>
    <row r="268" spans="2:82" ht="16.5" customHeight="1" x14ac:dyDescent="0.3">
      <c r="B268" s="26"/>
      <c r="C268" s="26"/>
      <c r="D268" s="26"/>
      <c r="E268" s="26"/>
      <c r="F268" s="26"/>
      <c r="G268" s="26"/>
      <c r="H268" s="24"/>
      <c r="I268" s="27"/>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row>
    <row r="269" spans="2:82" ht="16.5" customHeight="1" x14ac:dyDescent="0.3">
      <c r="B269" s="26"/>
      <c r="C269" s="26"/>
      <c r="D269" s="26"/>
      <c r="E269" s="26"/>
      <c r="F269" s="26"/>
      <c r="G269" s="26"/>
      <c r="H269" s="24"/>
      <c r="I269" s="27"/>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row>
    <row r="270" spans="2:82" ht="16.5" customHeight="1" x14ac:dyDescent="0.3">
      <c r="B270" s="26"/>
      <c r="C270" s="26"/>
      <c r="D270" s="26"/>
      <c r="E270" s="26"/>
      <c r="F270" s="26"/>
      <c r="G270" s="26"/>
      <c r="H270" s="24"/>
      <c r="I270" s="27"/>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row>
    <row r="271" spans="2:82" ht="16.5" customHeight="1" x14ac:dyDescent="0.3">
      <c r="B271" s="26"/>
      <c r="C271" s="26"/>
      <c r="D271" s="26"/>
      <c r="E271" s="26"/>
      <c r="F271" s="26"/>
      <c r="G271" s="26"/>
      <c r="H271" s="24"/>
      <c r="I271" s="27"/>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row>
    <row r="272" spans="2:82" ht="16.5" customHeight="1" x14ac:dyDescent="0.3">
      <c r="B272" s="26"/>
      <c r="C272" s="26"/>
      <c r="D272" s="26"/>
      <c r="E272" s="26"/>
      <c r="F272" s="26"/>
      <c r="G272" s="26"/>
      <c r="H272" s="24"/>
      <c r="I272" s="27"/>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row>
    <row r="273" spans="2:82" ht="16.5" customHeight="1" x14ac:dyDescent="0.3">
      <c r="B273" s="26"/>
      <c r="C273" s="26"/>
      <c r="D273" s="26"/>
      <c r="E273" s="26"/>
      <c r="F273" s="26"/>
      <c r="G273" s="26"/>
      <c r="H273" s="24"/>
      <c r="I273" s="27"/>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row>
    <row r="274" spans="2:82" ht="16.5" customHeight="1" x14ac:dyDescent="0.3">
      <c r="B274" s="26"/>
      <c r="C274" s="26"/>
      <c r="D274" s="26"/>
      <c r="E274" s="26"/>
      <c r="F274" s="26"/>
      <c r="G274" s="26"/>
      <c r="H274" s="24"/>
      <c r="I274" s="27"/>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row>
    <row r="275" spans="2:82" ht="16.5" customHeight="1" x14ac:dyDescent="0.3">
      <c r="B275" s="26"/>
      <c r="C275" s="26"/>
      <c r="D275" s="26"/>
      <c r="E275" s="26"/>
      <c r="F275" s="26"/>
      <c r="G275" s="26"/>
      <c r="H275" s="24"/>
      <c r="I275" s="27"/>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row>
    <row r="276" spans="2:82" ht="16.5" customHeight="1" x14ac:dyDescent="0.3">
      <c r="B276" s="26"/>
      <c r="C276" s="26"/>
      <c r="D276" s="26"/>
      <c r="E276" s="26"/>
      <c r="F276" s="26"/>
      <c r="G276" s="26"/>
      <c r="H276" s="24"/>
      <c r="I276" s="27"/>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row>
    <row r="277" spans="2:82" ht="16.5" customHeight="1" x14ac:dyDescent="0.3">
      <c r="B277" s="26"/>
      <c r="C277" s="26"/>
      <c r="D277" s="26"/>
      <c r="E277" s="26"/>
      <c r="F277" s="26"/>
      <c r="G277" s="26"/>
      <c r="H277" s="24"/>
      <c r="I277" s="27"/>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row>
    <row r="278" spans="2:82" ht="16.5" customHeight="1" x14ac:dyDescent="0.3">
      <c r="B278" s="26"/>
      <c r="C278" s="26"/>
      <c r="D278" s="26"/>
      <c r="E278" s="26"/>
      <c r="F278" s="26"/>
      <c r="G278" s="26"/>
      <c r="H278" s="24"/>
      <c r="I278" s="27"/>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row>
    <row r="279" spans="2:82" ht="16.5" customHeight="1" x14ac:dyDescent="0.3">
      <c r="B279" s="26"/>
      <c r="C279" s="26"/>
      <c r="D279" s="26"/>
      <c r="E279" s="26"/>
      <c r="F279" s="26"/>
      <c r="G279" s="26"/>
      <c r="H279" s="24"/>
      <c r="I279" s="27"/>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row>
    <row r="280" spans="2:82" ht="16.5" customHeight="1" x14ac:dyDescent="0.3">
      <c r="B280" s="26"/>
      <c r="C280" s="26"/>
      <c r="D280" s="26"/>
      <c r="E280" s="26"/>
      <c r="F280" s="26"/>
      <c r="G280" s="26"/>
      <c r="H280" s="24"/>
      <c r="I280" s="27"/>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row>
    <row r="281" spans="2:82" ht="16.5" customHeight="1" x14ac:dyDescent="0.3">
      <c r="B281" s="26"/>
      <c r="C281" s="26"/>
      <c r="D281" s="26"/>
      <c r="E281" s="26"/>
      <c r="F281" s="26"/>
      <c r="G281" s="26"/>
      <c r="H281" s="24"/>
      <c r="I281" s="27"/>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row>
    <row r="282" spans="2:82" ht="16.5" customHeight="1" x14ac:dyDescent="0.3">
      <c r="B282" s="26"/>
      <c r="C282" s="26"/>
      <c r="D282" s="26"/>
      <c r="E282" s="26"/>
      <c r="F282" s="26"/>
      <c r="G282" s="26"/>
      <c r="H282" s="24"/>
      <c r="I282" s="27"/>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row>
    <row r="283" spans="2:82" ht="16.5" customHeight="1" x14ac:dyDescent="0.3">
      <c r="B283" s="26"/>
      <c r="C283" s="26"/>
      <c r="D283" s="26"/>
      <c r="E283" s="26"/>
      <c r="F283" s="26"/>
      <c r="G283" s="26"/>
      <c r="H283" s="24"/>
      <c r="I283" s="27"/>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row>
    <row r="284" spans="2:82" ht="16.5" customHeight="1" x14ac:dyDescent="0.3">
      <c r="B284" s="26"/>
      <c r="C284" s="26"/>
      <c r="D284" s="26"/>
      <c r="E284" s="26"/>
      <c r="F284" s="26"/>
      <c r="G284" s="26"/>
      <c r="H284" s="24"/>
      <c r="I284" s="27"/>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row>
    <row r="285" spans="2:82" ht="16.5" customHeight="1" x14ac:dyDescent="0.3">
      <c r="B285" s="26"/>
      <c r="C285" s="26"/>
      <c r="D285" s="26"/>
      <c r="E285" s="26"/>
      <c r="F285" s="26"/>
      <c r="G285" s="26"/>
      <c r="H285" s="24"/>
      <c r="I285" s="27"/>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row>
    <row r="286" spans="2:82" ht="16.5" customHeight="1" x14ac:dyDescent="0.3">
      <c r="B286" s="26"/>
      <c r="C286" s="26"/>
      <c r="D286" s="26"/>
      <c r="E286" s="26"/>
      <c r="F286" s="26"/>
      <c r="G286" s="26"/>
      <c r="H286" s="24"/>
      <c r="I286" s="27"/>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row>
    <row r="287" spans="2:82" ht="16.5" customHeight="1" x14ac:dyDescent="0.3">
      <c r="B287" s="26"/>
      <c r="C287" s="26"/>
      <c r="D287" s="26"/>
      <c r="E287" s="26"/>
      <c r="F287" s="26"/>
      <c r="G287" s="26"/>
      <c r="H287" s="24"/>
      <c r="I287" s="27"/>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row>
    <row r="288" spans="2:82" ht="16.5" customHeight="1" x14ac:dyDescent="0.3">
      <c r="B288" s="26"/>
      <c r="C288" s="26"/>
      <c r="D288" s="26"/>
      <c r="E288" s="26"/>
      <c r="F288" s="26"/>
      <c r="G288" s="26"/>
      <c r="H288" s="24"/>
      <c r="I288" s="27"/>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row>
    <row r="289" spans="2:82" ht="16.5" customHeight="1" x14ac:dyDescent="0.3">
      <c r="B289" s="26"/>
      <c r="C289" s="26"/>
      <c r="D289" s="26"/>
      <c r="E289" s="26"/>
      <c r="F289" s="26"/>
      <c r="G289" s="26"/>
      <c r="H289" s="24"/>
      <c r="I289" s="27"/>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row>
    <row r="290" spans="2:82" ht="16.5" customHeight="1" x14ac:dyDescent="0.3">
      <c r="B290" s="26"/>
      <c r="C290" s="26"/>
      <c r="D290" s="26"/>
      <c r="E290" s="26"/>
      <c r="F290" s="26"/>
      <c r="G290" s="26"/>
      <c r="H290" s="24"/>
      <c r="I290" s="27"/>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row>
    <row r="291" spans="2:82" ht="16.5" customHeight="1" x14ac:dyDescent="0.3">
      <c r="B291" s="26"/>
      <c r="C291" s="26"/>
      <c r="D291" s="26"/>
      <c r="E291" s="26"/>
      <c r="F291" s="26"/>
      <c r="G291" s="26"/>
      <c r="H291" s="24"/>
      <c r="I291" s="27"/>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row>
    <row r="292" spans="2:82" ht="16.5" customHeight="1" x14ac:dyDescent="0.3">
      <c r="B292" s="26"/>
      <c r="C292" s="26"/>
      <c r="D292" s="26"/>
      <c r="E292" s="26"/>
      <c r="F292" s="26"/>
      <c r="G292" s="26"/>
      <c r="H292" s="24"/>
      <c r="I292" s="27"/>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row>
    <row r="293" spans="2:82" ht="16.5" customHeight="1" x14ac:dyDescent="0.3">
      <c r="B293" s="26"/>
      <c r="C293" s="26"/>
      <c r="D293" s="26"/>
      <c r="E293" s="26"/>
      <c r="F293" s="26"/>
      <c r="G293" s="26"/>
      <c r="H293" s="24"/>
      <c r="I293" s="27"/>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row>
    <row r="294" spans="2:82" ht="16.5" customHeight="1" x14ac:dyDescent="0.3">
      <c r="B294" s="26"/>
      <c r="C294" s="26"/>
      <c r="D294" s="26"/>
      <c r="E294" s="26"/>
      <c r="F294" s="26"/>
      <c r="G294" s="26"/>
      <c r="H294" s="24"/>
      <c r="I294" s="27"/>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row>
    <row r="295" spans="2:82" ht="16.5" customHeight="1" x14ac:dyDescent="0.3">
      <c r="B295" s="26"/>
      <c r="C295" s="26"/>
      <c r="D295" s="26"/>
      <c r="E295" s="26"/>
      <c r="F295" s="26"/>
      <c r="G295" s="26"/>
      <c r="H295" s="24"/>
      <c r="I295" s="27"/>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row>
    <row r="296" spans="2:82" ht="16.5" customHeight="1" x14ac:dyDescent="0.3">
      <c r="B296" s="26"/>
      <c r="C296" s="26"/>
      <c r="D296" s="26"/>
      <c r="E296" s="26"/>
      <c r="F296" s="26"/>
      <c r="G296" s="26"/>
      <c r="H296" s="24"/>
      <c r="I296" s="27"/>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row>
    <row r="297" spans="2:82" ht="16.5" customHeight="1" x14ac:dyDescent="0.3">
      <c r="B297" s="26"/>
      <c r="C297" s="26"/>
      <c r="D297" s="26"/>
      <c r="E297" s="26"/>
      <c r="F297" s="26"/>
      <c r="G297" s="26"/>
      <c r="H297" s="24"/>
      <c r="I297" s="27"/>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row>
    <row r="298" spans="2:82" ht="16.5" customHeight="1" x14ac:dyDescent="0.3">
      <c r="B298" s="26"/>
      <c r="C298" s="26"/>
      <c r="D298" s="26"/>
      <c r="E298" s="26"/>
      <c r="F298" s="26"/>
      <c r="G298" s="26"/>
      <c r="H298" s="24"/>
      <c r="I298" s="27"/>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row>
    <row r="299" spans="2:82" ht="16.5" customHeight="1" x14ac:dyDescent="0.3">
      <c r="B299" s="26"/>
      <c r="C299" s="26"/>
      <c r="D299" s="26"/>
      <c r="E299" s="26"/>
      <c r="F299" s="26"/>
      <c r="G299" s="26"/>
      <c r="H299" s="24"/>
      <c r="I299" s="27"/>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row>
    <row r="300" spans="2:82" ht="16.5" customHeight="1" x14ac:dyDescent="0.3">
      <c r="B300" s="26"/>
      <c r="C300" s="26"/>
      <c r="D300" s="26"/>
      <c r="E300" s="26"/>
      <c r="F300" s="26"/>
      <c r="G300" s="26"/>
      <c r="H300" s="24"/>
      <c r="I300" s="27"/>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row>
    <row r="301" spans="2:82" ht="16.5" customHeight="1" x14ac:dyDescent="0.3">
      <c r="B301" s="26"/>
      <c r="C301" s="26"/>
      <c r="D301" s="26"/>
      <c r="E301" s="26"/>
      <c r="F301" s="26"/>
      <c r="G301" s="26"/>
      <c r="H301" s="24"/>
      <c r="I301" s="27"/>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row>
    <row r="302" spans="2:82" ht="16.5" customHeight="1" x14ac:dyDescent="0.3">
      <c r="B302" s="26"/>
      <c r="C302" s="26"/>
      <c r="D302" s="26"/>
      <c r="E302" s="26"/>
      <c r="F302" s="26"/>
      <c r="G302" s="26"/>
      <c r="H302" s="24"/>
      <c r="I302" s="27"/>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row>
    <row r="303" spans="2:82" ht="16.5" customHeight="1" x14ac:dyDescent="0.3">
      <c r="B303" s="26"/>
      <c r="C303" s="26"/>
      <c r="D303" s="26"/>
      <c r="E303" s="26"/>
      <c r="F303" s="26"/>
      <c r="G303" s="26"/>
      <c r="H303" s="24"/>
      <c r="I303" s="27"/>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row>
    <row r="304" spans="2:82" ht="16.5" customHeight="1" x14ac:dyDescent="0.3">
      <c r="B304" s="26"/>
      <c r="C304" s="26"/>
      <c r="D304" s="26"/>
      <c r="E304" s="26"/>
      <c r="F304" s="26"/>
      <c r="G304" s="26"/>
      <c r="H304" s="24"/>
      <c r="I304" s="27"/>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row>
    <row r="305" spans="2:82" ht="16.5" customHeight="1" x14ac:dyDescent="0.3">
      <c r="B305" s="26"/>
      <c r="C305" s="26"/>
      <c r="D305" s="26"/>
      <c r="E305" s="26"/>
      <c r="F305" s="26"/>
      <c r="G305" s="26"/>
      <c r="H305" s="24"/>
      <c r="I305" s="27"/>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row>
    <row r="306" spans="2:82" ht="16.5" customHeight="1" x14ac:dyDescent="0.3">
      <c r="B306" s="26"/>
      <c r="C306" s="26"/>
      <c r="D306" s="26"/>
      <c r="E306" s="26"/>
      <c r="F306" s="26"/>
      <c r="G306" s="26"/>
      <c r="H306" s="24"/>
      <c r="I306" s="27"/>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row>
    <row r="307" spans="2:82" ht="16.5" customHeight="1" x14ac:dyDescent="0.3">
      <c r="B307" s="26"/>
      <c r="C307" s="26"/>
      <c r="D307" s="26"/>
      <c r="E307" s="26"/>
      <c r="F307" s="26"/>
      <c r="G307" s="26"/>
      <c r="H307" s="24"/>
      <c r="I307" s="27"/>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row>
    <row r="308" spans="2:82" ht="16.5" customHeight="1" x14ac:dyDescent="0.3">
      <c r="B308" s="26"/>
      <c r="C308" s="26"/>
      <c r="D308" s="26"/>
      <c r="E308" s="26"/>
      <c r="F308" s="26"/>
      <c r="G308" s="26"/>
      <c r="H308" s="24"/>
      <c r="I308" s="27"/>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row>
    <row r="309" spans="2:82" ht="16.5" customHeight="1" x14ac:dyDescent="0.3">
      <c r="B309" s="26"/>
      <c r="C309" s="26"/>
      <c r="D309" s="26"/>
      <c r="E309" s="26"/>
      <c r="F309" s="26"/>
      <c r="G309" s="26"/>
      <c r="H309" s="24"/>
      <c r="I309" s="27"/>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row>
    <row r="310" spans="2:82" ht="16.5" customHeight="1" x14ac:dyDescent="0.3">
      <c r="B310" s="26"/>
      <c r="C310" s="26"/>
      <c r="D310" s="26"/>
      <c r="E310" s="26"/>
      <c r="F310" s="26"/>
      <c r="G310" s="26"/>
      <c r="H310" s="24"/>
      <c r="I310" s="27"/>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row>
    <row r="311" spans="2:82" ht="16.5" customHeight="1" x14ac:dyDescent="0.3">
      <c r="B311" s="26"/>
      <c r="C311" s="26"/>
      <c r="D311" s="26"/>
      <c r="E311" s="26"/>
      <c r="F311" s="26"/>
      <c r="G311" s="26"/>
      <c r="H311" s="24"/>
      <c r="I311" s="27"/>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row>
    <row r="312" spans="2:82" ht="16.5" customHeight="1" x14ac:dyDescent="0.3">
      <c r="B312" s="26"/>
      <c r="C312" s="26"/>
      <c r="D312" s="26"/>
      <c r="E312" s="26"/>
      <c r="F312" s="26"/>
      <c r="G312" s="26"/>
      <c r="H312" s="24"/>
      <c r="I312" s="27"/>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row>
    <row r="313" spans="2:82" ht="16.5" customHeight="1" x14ac:dyDescent="0.3">
      <c r="B313" s="26"/>
      <c r="C313" s="26"/>
      <c r="D313" s="26"/>
      <c r="E313" s="26"/>
      <c r="F313" s="26"/>
      <c r="G313" s="26"/>
      <c r="H313" s="24"/>
      <c r="I313" s="27"/>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row>
    <row r="314" spans="2:82" ht="16.5" customHeight="1" x14ac:dyDescent="0.3">
      <c r="B314" s="26"/>
      <c r="C314" s="26"/>
      <c r="D314" s="26"/>
      <c r="E314" s="26"/>
      <c r="F314" s="26"/>
      <c r="G314" s="26"/>
      <c r="H314" s="24"/>
      <c r="I314" s="27"/>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row>
    <row r="315" spans="2:82" ht="16.5" customHeight="1" x14ac:dyDescent="0.3">
      <c r="B315" s="26"/>
      <c r="C315" s="26"/>
      <c r="D315" s="26"/>
      <c r="E315" s="26"/>
      <c r="F315" s="26"/>
      <c r="G315" s="26"/>
      <c r="H315" s="24"/>
      <c r="I315" s="27"/>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row>
    <row r="316" spans="2:82" ht="16.5" customHeight="1" x14ac:dyDescent="0.3">
      <c r="B316" s="26"/>
      <c r="C316" s="26"/>
      <c r="D316" s="26"/>
      <c r="E316" s="26"/>
      <c r="F316" s="26"/>
      <c r="G316" s="26"/>
      <c r="H316" s="24"/>
      <c r="I316" s="27"/>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row>
    <row r="317" spans="2:82" ht="16.5" customHeight="1" x14ac:dyDescent="0.3">
      <c r="B317" s="26"/>
      <c r="C317" s="26"/>
      <c r="D317" s="26"/>
      <c r="E317" s="26"/>
      <c r="F317" s="26"/>
      <c r="G317" s="26"/>
      <c r="H317" s="24"/>
      <c r="I317" s="27"/>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row>
    <row r="318" spans="2:82" ht="16.5" customHeight="1" x14ac:dyDescent="0.3">
      <c r="B318" s="26"/>
      <c r="C318" s="26"/>
      <c r="D318" s="26"/>
      <c r="E318" s="26"/>
      <c r="F318" s="26"/>
      <c r="G318" s="26"/>
      <c r="H318" s="24"/>
      <c r="I318" s="27"/>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row>
    <row r="319" spans="2:82" ht="16.5" customHeight="1" x14ac:dyDescent="0.3">
      <c r="B319" s="26"/>
      <c r="C319" s="26"/>
      <c r="D319" s="26"/>
      <c r="E319" s="26"/>
      <c r="F319" s="26"/>
      <c r="G319" s="26"/>
      <c r="H319" s="24"/>
      <c r="I319" s="27"/>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row>
    <row r="320" spans="2:82" ht="16.5" customHeight="1" x14ac:dyDescent="0.3">
      <c r="B320" s="26"/>
      <c r="C320" s="26"/>
      <c r="D320" s="26"/>
      <c r="E320" s="26"/>
      <c r="F320" s="26"/>
      <c r="G320" s="26"/>
      <c r="H320" s="24"/>
      <c r="I320" s="27"/>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row>
    <row r="321" spans="2:82" ht="16.5" customHeight="1" x14ac:dyDescent="0.3">
      <c r="B321" s="26"/>
      <c r="C321" s="26"/>
      <c r="D321" s="26"/>
      <c r="E321" s="26"/>
      <c r="F321" s="26"/>
      <c r="G321" s="26"/>
      <c r="H321" s="24"/>
      <c r="I321" s="27"/>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row>
    <row r="322" spans="2:82" ht="16.5" customHeight="1" x14ac:dyDescent="0.3">
      <c r="B322" s="26"/>
      <c r="C322" s="26"/>
      <c r="D322" s="26"/>
      <c r="E322" s="26"/>
      <c r="F322" s="26"/>
      <c r="G322" s="26"/>
      <c r="H322" s="24"/>
      <c r="I322" s="27"/>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row>
    <row r="323" spans="2:82" ht="16.5" customHeight="1" x14ac:dyDescent="0.3">
      <c r="B323" s="26"/>
      <c r="C323" s="26"/>
      <c r="D323" s="26"/>
      <c r="E323" s="26"/>
      <c r="F323" s="26"/>
      <c r="G323" s="26"/>
      <c r="H323" s="24"/>
      <c r="I323" s="27"/>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row>
    <row r="324" spans="2:82" ht="16.5" customHeight="1" x14ac:dyDescent="0.3">
      <c r="B324" s="26"/>
      <c r="C324" s="26"/>
      <c r="D324" s="26"/>
      <c r="E324" s="26"/>
      <c r="F324" s="26"/>
      <c r="G324" s="26"/>
      <c r="H324" s="24"/>
      <c r="I324" s="27"/>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row>
    <row r="325" spans="2:82" ht="16.5" customHeight="1" x14ac:dyDescent="0.3">
      <c r="B325" s="26"/>
      <c r="C325" s="26"/>
      <c r="D325" s="26"/>
      <c r="E325" s="26"/>
      <c r="F325" s="26"/>
      <c r="G325" s="26"/>
      <c r="H325" s="24"/>
      <c r="I325" s="27"/>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row>
    <row r="326" spans="2:82" ht="16.5" customHeight="1" x14ac:dyDescent="0.3">
      <c r="B326" s="26"/>
      <c r="C326" s="26"/>
      <c r="D326" s="26"/>
      <c r="E326" s="26"/>
      <c r="F326" s="26"/>
      <c r="G326" s="26"/>
      <c r="H326" s="24"/>
      <c r="I326" s="27"/>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row>
    <row r="327" spans="2:82" ht="16.5" customHeight="1" x14ac:dyDescent="0.3">
      <c r="B327" s="26"/>
      <c r="C327" s="26"/>
      <c r="D327" s="26"/>
      <c r="E327" s="26"/>
      <c r="F327" s="26"/>
      <c r="G327" s="26"/>
      <c r="H327" s="24"/>
      <c r="I327" s="27"/>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row>
    <row r="328" spans="2:82" ht="16.5" customHeight="1" x14ac:dyDescent="0.3">
      <c r="B328" s="26"/>
      <c r="C328" s="26"/>
      <c r="D328" s="26"/>
      <c r="E328" s="26"/>
      <c r="F328" s="26"/>
      <c r="G328" s="26"/>
      <c r="H328" s="24"/>
      <c r="I328" s="27"/>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row>
    <row r="329" spans="2:82" ht="16.5" customHeight="1" x14ac:dyDescent="0.3">
      <c r="B329" s="26"/>
      <c r="C329" s="26"/>
      <c r="D329" s="26"/>
      <c r="E329" s="26"/>
      <c r="F329" s="26"/>
      <c r="G329" s="26"/>
      <c r="H329" s="24"/>
      <c r="I329" s="27"/>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row>
    <row r="330" spans="2:82" ht="16.5" customHeight="1" x14ac:dyDescent="0.3">
      <c r="B330" s="26"/>
      <c r="C330" s="26"/>
      <c r="D330" s="26"/>
      <c r="E330" s="26"/>
      <c r="F330" s="26"/>
      <c r="G330" s="26"/>
      <c r="H330" s="24"/>
      <c r="I330" s="27"/>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row>
    <row r="331" spans="2:82" ht="16.5" customHeight="1" x14ac:dyDescent="0.3">
      <c r="B331" s="26"/>
      <c r="C331" s="26"/>
      <c r="D331" s="26"/>
      <c r="E331" s="26"/>
      <c r="F331" s="26"/>
      <c r="G331" s="26"/>
      <c r="H331" s="24"/>
      <c r="I331" s="27"/>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row>
    <row r="332" spans="2:82" ht="16.5" customHeight="1" x14ac:dyDescent="0.3">
      <c r="B332" s="26"/>
      <c r="C332" s="26"/>
      <c r="D332" s="26"/>
      <c r="E332" s="26"/>
      <c r="F332" s="26"/>
      <c r="G332" s="26"/>
      <c r="H332" s="24"/>
      <c r="I332" s="27"/>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row>
    <row r="333" spans="2:82" ht="16.5" customHeight="1" x14ac:dyDescent="0.3">
      <c r="B333" s="26"/>
      <c r="C333" s="26"/>
      <c r="D333" s="26"/>
      <c r="E333" s="26"/>
      <c r="F333" s="26"/>
      <c r="G333" s="26"/>
      <c r="H333" s="24"/>
      <c r="I333" s="27"/>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row>
    <row r="334" spans="2:82" ht="16.5" customHeight="1" x14ac:dyDescent="0.3">
      <c r="B334" s="26"/>
      <c r="C334" s="26"/>
      <c r="D334" s="26"/>
      <c r="E334" s="26"/>
      <c r="F334" s="26"/>
      <c r="G334" s="26"/>
      <c r="H334" s="24"/>
      <c r="I334" s="27"/>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row>
    <row r="335" spans="2:82" ht="16.5" customHeight="1" x14ac:dyDescent="0.3">
      <c r="B335" s="26"/>
      <c r="C335" s="26"/>
      <c r="D335" s="26"/>
      <c r="E335" s="26"/>
      <c r="F335" s="26"/>
      <c r="G335" s="26"/>
      <c r="H335" s="24"/>
      <c r="I335" s="27"/>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row>
    <row r="336" spans="2:82" ht="16.5" customHeight="1" x14ac:dyDescent="0.3">
      <c r="B336" s="26"/>
      <c r="C336" s="26"/>
      <c r="D336" s="26"/>
      <c r="E336" s="26"/>
      <c r="F336" s="26"/>
      <c r="G336" s="26"/>
      <c r="H336" s="24"/>
      <c r="I336" s="27"/>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row>
    <row r="337" spans="2:82" ht="16.5" customHeight="1" x14ac:dyDescent="0.3">
      <c r="B337" s="26"/>
      <c r="C337" s="26"/>
      <c r="D337" s="26"/>
      <c r="E337" s="26"/>
      <c r="F337" s="26"/>
      <c r="G337" s="26"/>
      <c r="H337" s="24"/>
      <c r="I337" s="27"/>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row>
    <row r="338" spans="2:82" ht="16.5" customHeight="1" x14ac:dyDescent="0.3">
      <c r="B338" s="26"/>
      <c r="C338" s="26"/>
      <c r="D338" s="26"/>
      <c r="E338" s="26"/>
      <c r="F338" s="26"/>
      <c r="G338" s="26"/>
      <c r="H338" s="24"/>
      <c r="I338" s="27"/>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row>
    <row r="339" spans="2:82" ht="16.5" customHeight="1" x14ac:dyDescent="0.3">
      <c r="B339" s="26"/>
      <c r="C339" s="26"/>
      <c r="D339" s="26"/>
      <c r="E339" s="26"/>
      <c r="F339" s="26"/>
      <c r="G339" s="26"/>
      <c r="H339" s="24"/>
      <c r="I339" s="27"/>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row>
    <row r="340" spans="2:82" ht="16.5" customHeight="1" x14ac:dyDescent="0.3">
      <c r="B340" s="26"/>
      <c r="C340" s="26"/>
      <c r="D340" s="26"/>
      <c r="E340" s="26"/>
      <c r="F340" s="26"/>
      <c r="G340" s="26"/>
      <c r="H340" s="24"/>
      <c r="I340" s="27"/>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row>
    <row r="341" spans="2:82" ht="16.5" customHeight="1" x14ac:dyDescent="0.3">
      <c r="B341" s="26"/>
      <c r="C341" s="26"/>
      <c r="D341" s="26"/>
      <c r="E341" s="26"/>
      <c r="F341" s="26"/>
      <c r="G341" s="26"/>
      <c r="H341" s="24"/>
      <c r="I341" s="27"/>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row>
    <row r="342" spans="2:82" ht="16.5" customHeight="1" x14ac:dyDescent="0.3">
      <c r="B342" s="26"/>
      <c r="C342" s="26"/>
      <c r="D342" s="26"/>
      <c r="E342" s="26"/>
      <c r="F342" s="26"/>
      <c r="G342" s="26"/>
      <c r="H342" s="24"/>
      <c r="I342" s="27"/>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row>
    <row r="343" spans="2:82" ht="16.5" customHeight="1" x14ac:dyDescent="0.3">
      <c r="B343" s="26"/>
      <c r="C343" s="26"/>
      <c r="D343" s="26"/>
      <c r="E343" s="26"/>
      <c r="F343" s="26"/>
      <c r="G343" s="26"/>
      <c r="H343" s="24"/>
      <c r="I343" s="27"/>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row>
    <row r="344" spans="2:82" ht="16.5" customHeight="1" x14ac:dyDescent="0.3">
      <c r="B344" s="26"/>
      <c r="C344" s="26"/>
      <c r="D344" s="26"/>
      <c r="E344" s="26"/>
      <c r="F344" s="26"/>
      <c r="G344" s="26"/>
      <c r="H344" s="24"/>
      <c r="I344" s="27"/>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row>
    <row r="345" spans="2:82" ht="16.5" customHeight="1" x14ac:dyDescent="0.3">
      <c r="B345" s="26"/>
      <c r="C345" s="26"/>
      <c r="D345" s="26"/>
      <c r="E345" s="26"/>
      <c r="F345" s="26"/>
      <c r="G345" s="26"/>
      <c r="H345" s="24"/>
      <c r="I345" s="27"/>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row>
    <row r="346" spans="2:82" ht="16.5" customHeight="1" x14ac:dyDescent="0.3">
      <c r="B346" s="26"/>
      <c r="C346" s="26"/>
      <c r="D346" s="26"/>
      <c r="E346" s="26"/>
      <c r="F346" s="26"/>
      <c r="G346" s="26"/>
      <c r="H346" s="24"/>
      <c r="I346" s="27"/>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row>
    <row r="347" spans="2:82" ht="16.5" customHeight="1" x14ac:dyDescent="0.3">
      <c r="B347" s="26"/>
      <c r="C347" s="26"/>
      <c r="D347" s="26"/>
      <c r="E347" s="26"/>
      <c r="F347" s="26"/>
      <c r="G347" s="26"/>
      <c r="H347" s="24"/>
      <c r="I347" s="27"/>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row>
    <row r="348" spans="2:82" ht="16.5" customHeight="1" x14ac:dyDescent="0.3">
      <c r="B348" s="26"/>
      <c r="C348" s="26"/>
      <c r="D348" s="26"/>
      <c r="E348" s="26"/>
      <c r="F348" s="26"/>
      <c r="G348" s="26"/>
      <c r="H348" s="24"/>
      <c r="I348" s="27"/>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row>
    <row r="349" spans="2:82" ht="16.5" customHeight="1" x14ac:dyDescent="0.3">
      <c r="B349" s="26"/>
      <c r="C349" s="26"/>
      <c r="D349" s="26"/>
      <c r="E349" s="26"/>
      <c r="F349" s="26"/>
      <c r="G349" s="26"/>
      <c r="H349" s="24"/>
      <c r="I349" s="27"/>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row>
    <row r="350" spans="2:82" ht="16.5" customHeight="1" x14ac:dyDescent="0.3">
      <c r="B350" s="26"/>
      <c r="C350" s="26"/>
      <c r="D350" s="26"/>
      <c r="E350" s="26"/>
      <c r="F350" s="26"/>
      <c r="G350" s="26"/>
      <c r="H350" s="24"/>
      <c r="I350" s="27"/>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row>
    <row r="351" spans="2:82" ht="16.5" customHeight="1" x14ac:dyDescent="0.3">
      <c r="B351" s="26"/>
      <c r="C351" s="26"/>
      <c r="D351" s="26"/>
      <c r="E351" s="26"/>
      <c r="F351" s="26"/>
      <c r="G351" s="26"/>
      <c r="H351" s="24"/>
      <c r="I351" s="27"/>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row>
    <row r="352" spans="2:82" ht="16.5" customHeight="1" x14ac:dyDescent="0.3">
      <c r="B352" s="26"/>
      <c r="C352" s="26"/>
      <c r="D352" s="26"/>
      <c r="E352" s="26"/>
      <c r="F352" s="26"/>
      <c r="G352" s="26"/>
      <c r="H352" s="24"/>
      <c r="I352" s="27"/>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row>
    <row r="353" spans="2:82" ht="16.5" customHeight="1" x14ac:dyDescent="0.3">
      <c r="B353" s="26"/>
      <c r="C353" s="26"/>
      <c r="D353" s="26"/>
      <c r="E353" s="26"/>
      <c r="F353" s="26"/>
      <c r="G353" s="26"/>
      <c r="H353" s="24"/>
      <c r="I353" s="27"/>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row>
    <row r="354" spans="2:82" ht="16.5" customHeight="1" x14ac:dyDescent="0.3">
      <c r="B354" s="26"/>
      <c r="C354" s="26"/>
      <c r="D354" s="26"/>
      <c r="E354" s="26"/>
      <c r="F354" s="26"/>
      <c r="G354" s="26"/>
      <c r="H354" s="24"/>
      <c r="I354" s="27"/>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row>
    <row r="355" spans="2:82" ht="16.5" customHeight="1" x14ac:dyDescent="0.3">
      <c r="B355" s="26"/>
      <c r="C355" s="26"/>
      <c r="D355" s="26"/>
      <c r="E355" s="26"/>
      <c r="F355" s="26"/>
      <c r="G355" s="26"/>
      <c r="H355" s="24"/>
      <c r="I355" s="27"/>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row>
    <row r="356" spans="2:82" ht="16.5" customHeight="1" x14ac:dyDescent="0.3">
      <c r="B356" s="26"/>
      <c r="C356" s="26"/>
      <c r="D356" s="26"/>
      <c r="E356" s="26"/>
      <c r="F356" s="26"/>
      <c r="G356" s="26"/>
      <c r="H356" s="24"/>
      <c r="I356" s="27"/>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row>
    <row r="357" spans="2:82" ht="16.5" customHeight="1" x14ac:dyDescent="0.3">
      <c r="B357" s="26"/>
      <c r="C357" s="26"/>
      <c r="D357" s="26"/>
      <c r="E357" s="26"/>
      <c r="F357" s="26"/>
      <c r="G357" s="26"/>
      <c r="H357" s="24"/>
      <c r="I357" s="27"/>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row>
    <row r="358" spans="2:82" ht="16.5" customHeight="1" x14ac:dyDescent="0.3">
      <c r="B358" s="26"/>
      <c r="C358" s="26"/>
      <c r="D358" s="26"/>
      <c r="E358" s="26"/>
      <c r="F358" s="26"/>
      <c r="G358" s="26"/>
      <c r="H358" s="24"/>
      <c r="I358" s="27"/>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row>
    <row r="359" spans="2:82" ht="16.5" customHeight="1" x14ac:dyDescent="0.3">
      <c r="B359" s="26"/>
      <c r="C359" s="26"/>
      <c r="D359" s="26"/>
      <c r="E359" s="26"/>
      <c r="F359" s="26"/>
      <c r="G359" s="26"/>
      <c r="H359" s="24"/>
      <c r="I359" s="27"/>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row>
    <row r="360" spans="2:82" ht="16.5" customHeight="1" x14ac:dyDescent="0.3">
      <c r="B360" s="26"/>
      <c r="C360" s="26"/>
      <c r="D360" s="26"/>
      <c r="E360" s="26"/>
      <c r="F360" s="26"/>
      <c r="G360" s="26"/>
      <c r="H360" s="24"/>
      <c r="I360" s="27"/>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row>
    <row r="361" spans="2:82" ht="16.5" customHeight="1" x14ac:dyDescent="0.3">
      <c r="B361" s="26"/>
      <c r="C361" s="26"/>
      <c r="D361" s="26"/>
      <c r="E361" s="26"/>
      <c r="F361" s="26"/>
      <c r="G361" s="26"/>
      <c r="H361" s="24"/>
      <c r="I361" s="27"/>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row>
    <row r="362" spans="2:82" ht="16.5" customHeight="1" x14ac:dyDescent="0.3">
      <c r="B362" s="26"/>
      <c r="C362" s="26"/>
      <c r="D362" s="26"/>
      <c r="E362" s="26"/>
      <c r="F362" s="26"/>
      <c r="G362" s="26"/>
      <c r="H362" s="24"/>
      <c r="I362" s="27"/>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row>
    <row r="363" spans="2:82" ht="16.5" customHeight="1" x14ac:dyDescent="0.3">
      <c r="B363" s="26"/>
      <c r="C363" s="26"/>
      <c r="D363" s="26"/>
      <c r="E363" s="26"/>
      <c r="F363" s="26"/>
      <c r="G363" s="26"/>
      <c r="H363" s="24"/>
      <c r="I363" s="27"/>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row>
    <row r="364" spans="2:82" ht="16.5" customHeight="1" x14ac:dyDescent="0.3">
      <c r="B364" s="26"/>
      <c r="C364" s="26"/>
      <c r="D364" s="26"/>
      <c r="E364" s="26"/>
      <c r="F364" s="26"/>
      <c r="G364" s="26"/>
      <c r="H364" s="24"/>
      <c r="I364" s="27"/>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row>
    <row r="365" spans="2:82" ht="16.5" customHeight="1" x14ac:dyDescent="0.3">
      <c r="B365" s="26"/>
      <c r="C365" s="26"/>
      <c r="D365" s="26"/>
      <c r="E365" s="26"/>
      <c r="F365" s="26"/>
      <c r="G365" s="26"/>
      <c r="H365" s="24"/>
      <c r="I365" s="27"/>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row>
    <row r="366" spans="2:82" ht="16.5" customHeight="1" x14ac:dyDescent="0.3">
      <c r="B366" s="26"/>
      <c r="C366" s="26"/>
      <c r="D366" s="26"/>
      <c r="E366" s="26"/>
      <c r="F366" s="26"/>
      <c r="G366" s="26"/>
      <c r="H366" s="24"/>
      <c r="I366" s="27"/>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row>
    <row r="367" spans="2:82" ht="16.5" customHeight="1" x14ac:dyDescent="0.3">
      <c r="B367" s="26"/>
      <c r="C367" s="26"/>
      <c r="D367" s="26"/>
      <c r="E367" s="26"/>
      <c r="F367" s="26"/>
      <c r="G367" s="26"/>
      <c r="H367" s="24"/>
      <c r="I367" s="27"/>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row>
    <row r="368" spans="2:82" ht="16.5" customHeight="1" x14ac:dyDescent="0.3">
      <c r="B368" s="26"/>
      <c r="C368" s="26"/>
      <c r="D368" s="26"/>
      <c r="E368" s="26"/>
      <c r="F368" s="26"/>
      <c r="G368" s="26"/>
      <c r="H368" s="24"/>
      <c r="I368" s="27"/>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row>
    <row r="369" spans="2:82" ht="16.5" customHeight="1" x14ac:dyDescent="0.3">
      <c r="B369" s="26"/>
      <c r="C369" s="26"/>
      <c r="D369" s="26"/>
      <c r="E369" s="26"/>
      <c r="F369" s="26"/>
      <c r="G369" s="26"/>
      <c r="H369" s="24"/>
      <c r="I369" s="27"/>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row>
    <row r="370" spans="2:82" ht="16.5" customHeight="1" x14ac:dyDescent="0.3">
      <c r="B370" s="26"/>
      <c r="C370" s="26"/>
      <c r="D370" s="26"/>
      <c r="E370" s="26"/>
      <c r="F370" s="26"/>
      <c r="G370" s="26"/>
      <c r="H370" s="24"/>
      <c r="I370" s="27"/>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row>
    <row r="371" spans="2:82" ht="16.5" customHeight="1" x14ac:dyDescent="0.3">
      <c r="B371" s="26"/>
      <c r="C371" s="26"/>
      <c r="D371" s="26"/>
      <c r="E371" s="26"/>
      <c r="F371" s="26"/>
      <c r="G371" s="26"/>
      <c r="H371" s="24"/>
      <c r="I371" s="27"/>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row>
    <row r="372" spans="2:82" ht="16.5" customHeight="1" x14ac:dyDescent="0.3">
      <c r="B372" s="26"/>
      <c r="C372" s="26"/>
      <c r="D372" s="26"/>
      <c r="E372" s="26"/>
      <c r="F372" s="26"/>
      <c r="G372" s="26"/>
      <c r="H372" s="24"/>
      <c r="I372" s="27"/>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row>
    <row r="373" spans="2:82" ht="16.5" customHeight="1" x14ac:dyDescent="0.3">
      <c r="B373" s="26"/>
      <c r="C373" s="26"/>
      <c r="D373" s="26"/>
      <c r="E373" s="26"/>
      <c r="F373" s="26"/>
      <c r="G373" s="26"/>
      <c r="H373" s="24"/>
      <c r="I373" s="27"/>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row>
    <row r="374" spans="2:82" ht="16.5" customHeight="1" x14ac:dyDescent="0.3">
      <c r="B374" s="26"/>
      <c r="C374" s="26"/>
      <c r="D374" s="26"/>
      <c r="E374" s="26"/>
      <c r="F374" s="26"/>
      <c r="G374" s="26"/>
      <c r="H374" s="24"/>
      <c r="I374" s="27"/>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row>
    <row r="375" spans="2:82" ht="16.5" customHeight="1" x14ac:dyDescent="0.3">
      <c r="B375" s="26"/>
      <c r="C375" s="26"/>
      <c r="D375" s="26"/>
      <c r="E375" s="26"/>
      <c r="F375" s="26"/>
      <c r="G375" s="26"/>
      <c r="H375" s="24"/>
      <c r="I375" s="27"/>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row>
    <row r="376" spans="2:82" ht="16.5" customHeight="1" x14ac:dyDescent="0.3">
      <c r="B376" s="26"/>
      <c r="C376" s="26"/>
      <c r="D376" s="26"/>
      <c r="E376" s="26"/>
      <c r="F376" s="26"/>
      <c r="G376" s="26"/>
      <c r="H376" s="24"/>
      <c r="I376" s="27"/>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row>
    <row r="377" spans="2:82" ht="16.5" customHeight="1" x14ac:dyDescent="0.3">
      <c r="B377" s="26"/>
      <c r="C377" s="26"/>
      <c r="D377" s="26"/>
      <c r="E377" s="26"/>
      <c r="F377" s="26"/>
      <c r="G377" s="26"/>
      <c r="H377" s="24"/>
      <c r="I377" s="27"/>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row>
    <row r="378" spans="2:82" ht="16.5" customHeight="1" x14ac:dyDescent="0.3">
      <c r="B378" s="26"/>
      <c r="C378" s="26"/>
      <c r="D378" s="26"/>
      <c r="E378" s="26"/>
      <c r="F378" s="26"/>
      <c r="G378" s="26"/>
      <c r="H378" s="24"/>
      <c r="I378" s="27"/>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row>
    <row r="379" spans="2:82" ht="16.5" customHeight="1" x14ac:dyDescent="0.3">
      <c r="B379" s="26"/>
      <c r="C379" s="26"/>
      <c r="D379" s="26"/>
      <c r="E379" s="26"/>
      <c r="F379" s="26"/>
      <c r="G379" s="26"/>
      <c r="H379" s="24"/>
      <c r="I379" s="27"/>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row>
    <row r="380" spans="2:82" ht="16.5" customHeight="1" x14ac:dyDescent="0.3">
      <c r="B380" s="26"/>
      <c r="C380" s="26"/>
      <c r="D380" s="26"/>
      <c r="E380" s="26"/>
      <c r="F380" s="26"/>
      <c r="G380" s="26"/>
      <c r="H380" s="24"/>
      <c r="I380" s="27"/>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row>
    <row r="381" spans="2:82" ht="16.5" customHeight="1" x14ac:dyDescent="0.3">
      <c r="B381" s="26"/>
      <c r="C381" s="26"/>
      <c r="D381" s="26"/>
      <c r="E381" s="26"/>
      <c r="F381" s="26"/>
      <c r="G381" s="26"/>
      <c r="H381" s="24"/>
      <c r="I381" s="27"/>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row>
    <row r="382" spans="2:82" ht="16.5" customHeight="1" x14ac:dyDescent="0.3">
      <c r="B382" s="26"/>
      <c r="C382" s="26"/>
      <c r="D382" s="26"/>
      <c r="E382" s="26"/>
      <c r="F382" s="26"/>
      <c r="G382" s="26"/>
      <c r="H382" s="24"/>
      <c r="I382" s="27"/>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row>
    <row r="383" spans="2:82" ht="16.5" customHeight="1" x14ac:dyDescent="0.3">
      <c r="B383" s="26"/>
      <c r="C383" s="26"/>
      <c r="D383" s="26"/>
      <c r="E383" s="26"/>
      <c r="F383" s="26"/>
      <c r="G383" s="26"/>
      <c r="H383" s="24"/>
      <c r="I383" s="27"/>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row>
    <row r="384" spans="2:82" ht="16.5" customHeight="1" x14ac:dyDescent="0.3">
      <c r="B384" s="26"/>
      <c r="C384" s="26"/>
      <c r="D384" s="26"/>
      <c r="E384" s="26"/>
      <c r="F384" s="26"/>
      <c r="G384" s="26"/>
      <c r="H384" s="24"/>
      <c r="I384" s="27"/>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row>
    <row r="385" spans="2:82" ht="16.5" customHeight="1" x14ac:dyDescent="0.3">
      <c r="B385" s="26"/>
      <c r="C385" s="26"/>
      <c r="D385" s="26"/>
      <c r="E385" s="26"/>
      <c r="F385" s="26"/>
      <c r="G385" s="26"/>
      <c r="H385" s="24"/>
      <c r="I385" s="27"/>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row>
    <row r="386" spans="2:82" ht="16.5" customHeight="1" x14ac:dyDescent="0.3">
      <c r="B386" s="26"/>
      <c r="C386" s="26"/>
      <c r="D386" s="26"/>
      <c r="E386" s="26"/>
      <c r="F386" s="26"/>
      <c r="G386" s="26"/>
      <c r="H386" s="24"/>
      <c r="I386" s="27"/>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row>
    <row r="387" spans="2:82" ht="16.5" customHeight="1" x14ac:dyDescent="0.3">
      <c r="B387" s="26"/>
      <c r="C387" s="26"/>
      <c r="D387" s="26"/>
      <c r="E387" s="26"/>
      <c r="F387" s="26"/>
      <c r="G387" s="26"/>
      <c r="H387" s="24"/>
      <c r="I387" s="27"/>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row>
    <row r="388" spans="2:82" ht="16.5" customHeight="1" x14ac:dyDescent="0.3">
      <c r="B388" s="26"/>
      <c r="C388" s="26"/>
      <c r="D388" s="26"/>
      <c r="E388" s="26"/>
      <c r="F388" s="26"/>
      <c r="G388" s="26"/>
      <c r="H388" s="24"/>
      <c r="I388" s="27"/>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row>
    <row r="389" spans="2:82" ht="16.5" customHeight="1" x14ac:dyDescent="0.3">
      <c r="B389" s="26"/>
      <c r="C389" s="26"/>
      <c r="D389" s="26"/>
      <c r="E389" s="26"/>
      <c r="F389" s="26"/>
      <c r="G389" s="26"/>
      <c r="H389" s="24"/>
      <c r="I389" s="27"/>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row>
    <row r="390" spans="2:82" ht="16.5" customHeight="1" x14ac:dyDescent="0.3">
      <c r="B390" s="26"/>
      <c r="C390" s="26"/>
      <c r="D390" s="26"/>
      <c r="E390" s="26"/>
      <c r="F390" s="26"/>
      <c r="G390" s="26"/>
      <c r="H390" s="24"/>
      <c r="I390" s="27"/>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row>
    <row r="391" spans="2:82" ht="16.5" customHeight="1" x14ac:dyDescent="0.3">
      <c r="B391" s="26"/>
      <c r="C391" s="26"/>
      <c r="D391" s="26"/>
      <c r="E391" s="26"/>
      <c r="F391" s="26"/>
      <c r="G391" s="26"/>
      <c r="H391" s="24"/>
      <c r="I391" s="27"/>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row>
    <row r="392" spans="2:82" ht="16.5" customHeight="1" x14ac:dyDescent="0.3">
      <c r="B392" s="26"/>
      <c r="C392" s="26"/>
      <c r="D392" s="26"/>
      <c r="E392" s="26"/>
      <c r="F392" s="26"/>
      <c r="G392" s="26"/>
      <c r="H392" s="24"/>
      <c r="I392" s="27"/>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row>
    <row r="393" spans="2:82" ht="16.5" customHeight="1" x14ac:dyDescent="0.3">
      <c r="B393" s="26"/>
      <c r="C393" s="26"/>
      <c r="D393" s="26"/>
      <c r="E393" s="26"/>
      <c r="F393" s="26"/>
      <c r="G393" s="26"/>
      <c r="H393" s="24"/>
      <c r="I393" s="27"/>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row>
    <row r="394" spans="2:82" ht="16.5" customHeight="1" x14ac:dyDescent="0.3">
      <c r="B394" s="26"/>
      <c r="C394" s="26"/>
      <c r="D394" s="26"/>
      <c r="E394" s="26"/>
      <c r="F394" s="26"/>
      <c r="G394" s="26"/>
      <c r="H394" s="24"/>
      <c r="I394" s="27"/>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row>
    <row r="395" spans="2:82" ht="16.5" customHeight="1" x14ac:dyDescent="0.3">
      <c r="B395" s="26"/>
      <c r="C395" s="26"/>
      <c r="D395" s="26"/>
      <c r="E395" s="26"/>
      <c r="F395" s="26"/>
      <c r="G395" s="26"/>
      <c r="H395" s="24"/>
      <c r="I395" s="27"/>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row>
    <row r="396" spans="2:82" ht="16.5" customHeight="1" x14ac:dyDescent="0.3">
      <c r="B396" s="26"/>
      <c r="C396" s="26"/>
      <c r="D396" s="26"/>
      <c r="E396" s="26"/>
      <c r="F396" s="26"/>
      <c r="G396" s="26"/>
      <c r="H396" s="24"/>
      <c r="I396" s="27"/>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row>
    <row r="397" spans="2:82" ht="16.5" customHeight="1" x14ac:dyDescent="0.3">
      <c r="B397" s="26"/>
      <c r="C397" s="26"/>
      <c r="D397" s="26"/>
      <c r="E397" s="26"/>
      <c r="F397" s="26"/>
      <c r="G397" s="26"/>
      <c r="H397" s="24"/>
      <c r="I397" s="27"/>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row>
    <row r="398" spans="2:82" ht="16.5" customHeight="1" x14ac:dyDescent="0.3">
      <c r="B398" s="26"/>
      <c r="C398" s="26"/>
      <c r="D398" s="26"/>
      <c r="E398" s="26"/>
      <c r="F398" s="26"/>
      <c r="G398" s="26"/>
      <c r="H398" s="24"/>
      <c r="I398" s="27"/>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row>
    <row r="399" spans="2:82" ht="16.5" customHeight="1" x14ac:dyDescent="0.3">
      <c r="B399" s="26"/>
      <c r="C399" s="26"/>
      <c r="D399" s="26"/>
      <c r="E399" s="26"/>
      <c r="F399" s="26"/>
      <c r="G399" s="26"/>
      <c r="H399" s="24"/>
      <c r="I399" s="27"/>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row>
    <row r="400" spans="2:82" ht="16.5" customHeight="1" x14ac:dyDescent="0.3">
      <c r="B400" s="26"/>
      <c r="C400" s="26"/>
      <c r="D400" s="26"/>
      <c r="E400" s="26"/>
      <c r="F400" s="26"/>
      <c r="G400" s="26"/>
      <c r="H400" s="24"/>
      <c r="I400" s="27"/>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row>
    <row r="401" spans="2:82" ht="16.5" customHeight="1" x14ac:dyDescent="0.3">
      <c r="B401" s="26"/>
      <c r="C401" s="26"/>
      <c r="D401" s="26"/>
      <c r="E401" s="26"/>
      <c r="F401" s="26"/>
      <c r="G401" s="26"/>
      <c r="H401" s="24"/>
      <c r="I401" s="27"/>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row>
    <row r="402" spans="2:82" ht="16.5" customHeight="1" x14ac:dyDescent="0.3">
      <c r="B402" s="26"/>
      <c r="C402" s="26"/>
      <c r="D402" s="26"/>
      <c r="E402" s="26"/>
      <c r="F402" s="26"/>
      <c r="G402" s="26"/>
      <c r="H402" s="24"/>
      <c r="I402" s="27"/>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row>
    <row r="403" spans="2:82" ht="16.5" customHeight="1" x14ac:dyDescent="0.3">
      <c r="B403" s="26"/>
      <c r="C403" s="26"/>
      <c r="D403" s="26"/>
      <c r="E403" s="26"/>
      <c r="F403" s="26"/>
      <c r="G403" s="26"/>
      <c r="H403" s="24"/>
      <c r="I403" s="27"/>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row>
    <row r="404" spans="2:82" ht="16.5" customHeight="1" x14ac:dyDescent="0.3">
      <c r="B404" s="26"/>
      <c r="C404" s="26"/>
      <c r="D404" s="26"/>
      <c r="E404" s="26"/>
      <c r="F404" s="26"/>
      <c r="G404" s="26"/>
      <c r="H404" s="24"/>
      <c r="I404" s="27"/>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row>
    <row r="405" spans="2:82" ht="16.5" customHeight="1" x14ac:dyDescent="0.3">
      <c r="B405" s="26"/>
      <c r="C405" s="26"/>
      <c r="D405" s="26"/>
      <c r="E405" s="26"/>
      <c r="F405" s="26"/>
      <c r="G405" s="26"/>
      <c r="H405" s="24"/>
      <c r="I405" s="27"/>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row>
    <row r="406" spans="2:82" ht="16.5" customHeight="1" x14ac:dyDescent="0.3">
      <c r="B406" s="26"/>
      <c r="C406" s="26"/>
      <c r="D406" s="26"/>
      <c r="E406" s="26"/>
      <c r="F406" s="26"/>
      <c r="G406" s="26"/>
      <c r="H406" s="24"/>
      <c r="I406" s="27"/>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row>
    <row r="407" spans="2:82" ht="16.5" customHeight="1" x14ac:dyDescent="0.3">
      <c r="B407" s="26"/>
      <c r="C407" s="26"/>
      <c r="D407" s="26"/>
      <c r="E407" s="26"/>
      <c r="F407" s="26"/>
      <c r="G407" s="26"/>
      <c r="H407" s="24"/>
      <c r="I407" s="27"/>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row>
    <row r="408" spans="2:82" ht="16.5" customHeight="1" x14ac:dyDescent="0.3">
      <c r="B408" s="26"/>
      <c r="C408" s="26"/>
      <c r="D408" s="26"/>
      <c r="E408" s="26"/>
      <c r="F408" s="26"/>
      <c r="G408" s="26"/>
      <c r="H408" s="24"/>
      <c r="I408" s="27"/>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row>
    <row r="409" spans="2:82" ht="16.5" customHeight="1" x14ac:dyDescent="0.3">
      <c r="B409" s="26"/>
      <c r="C409" s="26"/>
      <c r="D409" s="26"/>
      <c r="E409" s="26"/>
      <c r="F409" s="26"/>
      <c r="G409" s="26"/>
      <c r="H409" s="24"/>
      <c r="I409" s="27"/>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row>
    <row r="410" spans="2:82" ht="16.5" customHeight="1" x14ac:dyDescent="0.3">
      <c r="B410" s="26"/>
      <c r="C410" s="26"/>
      <c r="D410" s="26"/>
      <c r="E410" s="26"/>
      <c r="F410" s="26"/>
      <c r="G410" s="26"/>
      <c r="H410" s="24"/>
      <c r="I410" s="27"/>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row>
    <row r="411" spans="2:82" ht="16.5" customHeight="1" x14ac:dyDescent="0.3">
      <c r="B411" s="26"/>
      <c r="C411" s="26"/>
      <c r="D411" s="26"/>
      <c r="E411" s="26"/>
      <c r="F411" s="26"/>
      <c r="G411" s="26"/>
      <c r="H411" s="24"/>
      <c r="I411" s="27"/>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row>
    <row r="412" spans="2:82" ht="16.5" customHeight="1" x14ac:dyDescent="0.3">
      <c r="B412" s="26"/>
      <c r="C412" s="26"/>
      <c r="D412" s="26"/>
      <c r="E412" s="26"/>
      <c r="F412" s="26"/>
      <c r="G412" s="26"/>
      <c r="H412" s="24"/>
      <c r="I412" s="27"/>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row>
    <row r="413" spans="2:82" ht="16.5" customHeight="1" x14ac:dyDescent="0.3">
      <c r="B413" s="26"/>
      <c r="C413" s="26"/>
      <c r="D413" s="26"/>
      <c r="E413" s="26"/>
      <c r="F413" s="26"/>
      <c r="G413" s="26"/>
      <c r="H413" s="24"/>
      <c r="I413" s="27"/>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row>
    <row r="414" spans="2:82" ht="16.5" customHeight="1" x14ac:dyDescent="0.3">
      <c r="B414" s="26"/>
      <c r="C414" s="26"/>
      <c r="D414" s="26"/>
      <c r="E414" s="26"/>
      <c r="F414" s="26"/>
      <c r="G414" s="26"/>
      <c r="H414" s="24"/>
      <c r="I414" s="27"/>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row>
    <row r="415" spans="2:82" ht="16.5" customHeight="1" x14ac:dyDescent="0.3">
      <c r="B415" s="26"/>
      <c r="C415" s="26"/>
      <c r="D415" s="26"/>
      <c r="E415" s="26"/>
      <c r="F415" s="26"/>
      <c r="G415" s="26"/>
      <c r="H415" s="24"/>
      <c r="I415" s="27"/>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row>
    <row r="416" spans="2:82" ht="16.5" customHeight="1" x14ac:dyDescent="0.3">
      <c r="B416" s="26"/>
      <c r="C416" s="26"/>
      <c r="D416" s="26"/>
      <c r="E416" s="26"/>
      <c r="F416" s="26"/>
      <c r="G416" s="26"/>
      <c r="H416" s="24"/>
      <c r="I416" s="27"/>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row>
    <row r="417" spans="2:82" ht="16.5" customHeight="1" x14ac:dyDescent="0.3">
      <c r="B417" s="26"/>
      <c r="C417" s="26"/>
      <c r="D417" s="26"/>
      <c r="E417" s="26"/>
      <c r="F417" s="26"/>
      <c r="G417" s="26"/>
      <c r="H417" s="24"/>
      <c r="I417" s="27"/>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row>
    <row r="418" spans="2:82" ht="16.5" customHeight="1" x14ac:dyDescent="0.3">
      <c r="B418" s="26"/>
      <c r="C418" s="26"/>
      <c r="D418" s="26"/>
      <c r="E418" s="26"/>
      <c r="F418" s="26"/>
      <c r="G418" s="26"/>
      <c r="H418" s="24"/>
      <c r="I418" s="27"/>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row>
    <row r="419" spans="2:82" ht="16.5" customHeight="1" x14ac:dyDescent="0.3">
      <c r="B419" s="26"/>
      <c r="C419" s="26"/>
      <c r="D419" s="26"/>
      <c r="E419" s="26"/>
      <c r="F419" s="26"/>
      <c r="G419" s="26"/>
      <c r="H419" s="24"/>
      <c r="I419" s="27"/>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row>
    <row r="420" spans="2:82" ht="16.5" customHeight="1" x14ac:dyDescent="0.3">
      <c r="B420" s="26"/>
      <c r="C420" s="26"/>
      <c r="D420" s="26"/>
      <c r="E420" s="26"/>
      <c r="F420" s="26"/>
      <c r="G420" s="26"/>
      <c r="H420" s="24"/>
      <c r="I420" s="27"/>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row>
    <row r="421" spans="2:82" ht="16.5" customHeight="1" x14ac:dyDescent="0.3">
      <c r="B421" s="26"/>
      <c r="C421" s="26"/>
      <c r="D421" s="26"/>
      <c r="E421" s="26"/>
      <c r="F421" s="26"/>
      <c r="G421" s="26"/>
      <c r="H421" s="24"/>
      <c r="I421" s="27"/>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row>
    <row r="422" spans="2:82" ht="16.5" customHeight="1" x14ac:dyDescent="0.3">
      <c r="B422" s="26"/>
      <c r="C422" s="26"/>
      <c r="D422" s="26"/>
      <c r="E422" s="26"/>
      <c r="F422" s="26"/>
      <c r="G422" s="26"/>
      <c r="H422" s="24"/>
      <c r="I422" s="27"/>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row>
    <row r="423" spans="2:82" ht="16.5" customHeight="1" x14ac:dyDescent="0.3">
      <c r="B423" s="26"/>
      <c r="C423" s="26"/>
      <c r="D423" s="26"/>
      <c r="E423" s="26"/>
      <c r="F423" s="26"/>
      <c r="G423" s="26"/>
      <c r="H423" s="24"/>
      <c r="I423" s="27"/>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row>
    <row r="424" spans="2:82" ht="16.5" customHeight="1" x14ac:dyDescent="0.3">
      <c r="B424" s="26"/>
      <c r="C424" s="26"/>
      <c r="D424" s="26"/>
      <c r="E424" s="26"/>
      <c r="F424" s="26"/>
      <c r="G424" s="26"/>
      <c r="H424" s="24"/>
      <c r="I424" s="27"/>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row>
    <row r="425" spans="2:82" ht="16.5" customHeight="1" x14ac:dyDescent="0.3">
      <c r="B425" s="26"/>
      <c r="C425" s="26"/>
      <c r="D425" s="26"/>
      <c r="E425" s="26"/>
      <c r="F425" s="26"/>
      <c r="G425" s="26"/>
      <c r="H425" s="24"/>
      <c r="I425" s="27"/>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row>
    <row r="426" spans="2:82" ht="16.5" customHeight="1" x14ac:dyDescent="0.3">
      <c r="B426" s="26"/>
      <c r="C426" s="26"/>
      <c r="D426" s="26"/>
      <c r="E426" s="26"/>
      <c r="F426" s="26"/>
      <c r="G426" s="26"/>
      <c r="H426" s="24"/>
      <c r="I426" s="27"/>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row>
    <row r="427" spans="2:82" ht="16.5" customHeight="1" x14ac:dyDescent="0.3">
      <c r="B427" s="26"/>
      <c r="C427" s="26"/>
      <c r="D427" s="26"/>
      <c r="E427" s="26"/>
      <c r="F427" s="26"/>
      <c r="G427" s="26"/>
      <c r="H427" s="24"/>
      <c r="I427" s="27"/>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row>
    <row r="428" spans="2:82" ht="16.5" customHeight="1" x14ac:dyDescent="0.3">
      <c r="B428" s="26"/>
      <c r="C428" s="26"/>
      <c r="D428" s="26"/>
      <c r="E428" s="26"/>
      <c r="F428" s="26"/>
      <c r="G428" s="26"/>
      <c r="H428" s="24"/>
      <c r="I428" s="27"/>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row>
    <row r="429" spans="2:82" ht="16.5" customHeight="1" x14ac:dyDescent="0.3">
      <c r="B429" s="26"/>
      <c r="C429" s="26"/>
      <c r="D429" s="26"/>
      <c r="E429" s="26"/>
      <c r="F429" s="26"/>
      <c r="G429" s="26"/>
      <c r="H429" s="24"/>
      <c r="I429" s="27"/>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row>
    <row r="430" spans="2:82" ht="16.5" customHeight="1" x14ac:dyDescent="0.3">
      <c r="B430" s="26"/>
      <c r="C430" s="26"/>
      <c r="D430" s="26"/>
      <c r="E430" s="26"/>
      <c r="F430" s="26"/>
      <c r="G430" s="26"/>
      <c r="H430" s="24"/>
      <c r="I430" s="27"/>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row>
    <row r="431" spans="2:82" ht="16.5" customHeight="1" x14ac:dyDescent="0.3">
      <c r="B431" s="26"/>
      <c r="C431" s="26"/>
      <c r="D431" s="26"/>
      <c r="E431" s="26"/>
      <c r="F431" s="26"/>
      <c r="G431" s="26"/>
      <c r="H431" s="24"/>
      <c r="I431" s="27"/>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row>
    <row r="432" spans="2:82" ht="16.5" customHeight="1" x14ac:dyDescent="0.3">
      <c r="B432" s="26"/>
      <c r="C432" s="26"/>
      <c r="D432" s="26"/>
      <c r="E432" s="26"/>
      <c r="F432" s="26"/>
      <c r="G432" s="26"/>
      <c r="H432" s="24"/>
      <c r="I432" s="27"/>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row>
    <row r="433" spans="2:82" ht="16.5" customHeight="1" x14ac:dyDescent="0.3">
      <c r="B433" s="26"/>
      <c r="C433" s="26"/>
      <c r="D433" s="26"/>
      <c r="E433" s="26"/>
      <c r="F433" s="26"/>
      <c r="G433" s="26"/>
      <c r="H433" s="24"/>
      <c r="I433" s="27"/>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row>
    <row r="434" spans="2:82" ht="16.5" customHeight="1" x14ac:dyDescent="0.3">
      <c r="B434" s="26"/>
      <c r="C434" s="26"/>
      <c r="D434" s="26"/>
      <c r="E434" s="26"/>
      <c r="F434" s="26"/>
      <c r="G434" s="26"/>
      <c r="H434" s="24"/>
      <c r="I434" s="27"/>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row>
    <row r="435" spans="2:82" ht="16.5" customHeight="1" x14ac:dyDescent="0.3">
      <c r="B435" s="26"/>
      <c r="C435" s="26"/>
      <c r="D435" s="26"/>
      <c r="E435" s="26"/>
      <c r="F435" s="26"/>
      <c r="G435" s="26"/>
      <c r="H435" s="24"/>
      <c r="I435" s="27"/>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row>
    <row r="436" spans="2:82" ht="16.5" customHeight="1" x14ac:dyDescent="0.3">
      <c r="B436" s="26"/>
      <c r="C436" s="26"/>
      <c r="D436" s="26"/>
      <c r="E436" s="26"/>
      <c r="F436" s="26"/>
      <c r="G436" s="26"/>
      <c r="H436" s="24"/>
      <c r="I436" s="27"/>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row>
    <row r="437" spans="2:82" ht="16.5" customHeight="1" x14ac:dyDescent="0.3">
      <c r="B437" s="26"/>
      <c r="C437" s="26"/>
      <c r="D437" s="26"/>
      <c r="E437" s="26"/>
      <c r="F437" s="26"/>
      <c r="G437" s="26"/>
      <c r="H437" s="24"/>
      <c r="I437" s="27"/>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row>
    <row r="438" spans="2:82" ht="16.5" customHeight="1" x14ac:dyDescent="0.3">
      <c r="B438" s="26"/>
      <c r="C438" s="26"/>
      <c r="D438" s="26"/>
      <c r="E438" s="26"/>
      <c r="F438" s="26"/>
      <c r="G438" s="26"/>
      <c r="H438" s="24"/>
      <c r="I438" s="27"/>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row>
    <row r="439" spans="2:82" ht="16.5" customHeight="1" x14ac:dyDescent="0.3">
      <c r="B439" s="26"/>
      <c r="C439" s="26"/>
      <c r="D439" s="26"/>
      <c r="E439" s="26"/>
      <c r="F439" s="26"/>
      <c r="G439" s="26"/>
      <c r="H439" s="24"/>
      <c r="I439" s="27"/>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row>
    <row r="440" spans="2:82" ht="16.5" customHeight="1" x14ac:dyDescent="0.3">
      <c r="B440" s="26"/>
      <c r="C440" s="26"/>
      <c r="D440" s="26"/>
      <c r="E440" s="26"/>
      <c r="F440" s="26"/>
      <c r="G440" s="26"/>
      <c r="H440" s="24"/>
      <c r="I440" s="27"/>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row>
    <row r="441" spans="2:82" ht="16.5" customHeight="1" x14ac:dyDescent="0.3">
      <c r="B441" s="26"/>
      <c r="C441" s="26"/>
      <c r="D441" s="26"/>
      <c r="E441" s="26"/>
      <c r="F441" s="26"/>
      <c r="G441" s="26"/>
      <c r="H441" s="24"/>
      <c r="I441" s="27"/>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row>
    <row r="442" spans="2:82" ht="16.5" customHeight="1" x14ac:dyDescent="0.3">
      <c r="B442" s="26"/>
      <c r="C442" s="26"/>
      <c r="D442" s="26"/>
      <c r="E442" s="26"/>
      <c r="F442" s="26"/>
      <c r="G442" s="26"/>
      <c r="H442" s="24"/>
      <c r="I442" s="27"/>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row>
    <row r="443" spans="2:82" ht="16.5" customHeight="1" x14ac:dyDescent="0.3">
      <c r="B443" s="26"/>
      <c r="C443" s="26"/>
      <c r="D443" s="26"/>
      <c r="E443" s="26"/>
      <c r="F443" s="26"/>
      <c r="G443" s="26"/>
      <c r="H443" s="24"/>
      <c r="I443" s="27"/>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row>
    <row r="444" spans="2:82" ht="16.5" customHeight="1" x14ac:dyDescent="0.3">
      <c r="B444" s="26"/>
      <c r="C444" s="26"/>
      <c r="D444" s="26"/>
      <c r="E444" s="26"/>
      <c r="F444" s="26"/>
      <c r="G444" s="26"/>
      <c r="H444" s="24"/>
      <c r="I444" s="27"/>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row>
    <row r="445" spans="2:82" ht="16.5" customHeight="1" x14ac:dyDescent="0.3">
      <c r="B445" s="26"/>
      <c r="C445" s="26"/>
      <c r="D445" s="26"/>
      <c r="E445" s="26"/>
      <c r="F445" s="26"/>
      <c r="G445" s="26"/>
      <c r="H445" s="24"/>
      <c r="I445" s="27"/>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row>
    <row r="446" spans="2:82" ht="16.5" customHeight="1" x14ac:dyDescent="0.3">
      <c r="B446" s="26"/>
      <c r="C446" s="26"/>
      <c r="D446" s="26"/>
      <c r="E446" s="26"/>
      <c r="F446" s="26"/>
      <c r="G446" s="26"/>
      <c r="H446" s="24"/>
      <c r="I446" s="27"/>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row>
    <row r="447" spans="2:82" ht="16.5" customHeight="1" x14ac:dyDescent="0.3">
      <c r="B447" s="26"/>
      <c r="C447" s="26"/>
      <c r="D447" s="26"/>
      <c r="E447" s="26"/>
      <c r="F447" s="26"/>
      <c r="G447" s="26"/>
      <c r="H447" s="24"/>
      <c r="I447" s="27"/>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row>
    <row r="448" spans="2:82" ht="16.5" customHeight="1" x14ac:dyDescent="0.3">
      <c r="B448" s="26"/>
      <c r="C448" s="26"/>
      <c r="D448" s="26"/>
      <c r="E448" s="26"/>
      <c r="F448" s="26"/>
      <c r="G448" s="26"/>
      <c r="H448" s="24"/>
      <c r="I448" s="27"/>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row>
    <row r="449" spans="2:82" ht="16.5" customHeight="1" x14ac:dyDescent="0.3">
      <c r="B449" s="26"/>
      <c r="C449" s="26"/>
      <c r="D449" s="26"/>
      <c r="E449" s="26"/>
      <c r="F449" s="26"/>
      <c r="G449" s="26"/>
      <c r="H449" s="24"/>
      <c r="I449" s="27"/>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row>
    <row r="450" spans="2:82" ht="16.5" customHeight="1" x14ac:dyDescent="0.3">
      <c r="B450" s="26"/>
      <c r="C450" s="26"/>
      <c r="D450" s="26"/>
      <c r="E450" s="26"/>
      <c r="F450" s="26"/>
      <c r="G450" s="26"/>
      <c r="H450" s="24"/>
      <c r="I450" s="27"/>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row>
    <row r="451" spans="2:82" ht="16.5" customHeight="1" x14ac:dyDescent="0.3">
      <c r="B451" s="26"/>
      <c r="C451" s="26"/>
      <c r="D451" s="26"/>
      <c r="E451" s="26"/>
      <c r="F451" s="26"/>
      <c r="G451" s="26"/>
      <c r="H451" s="24"/>
      <c r="I451" s="27"/>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row>
    <row r="452" spans="2:82" ht="16.5" customHeight="1" x14ac:dyDescent="0.3">
      <c r="B452" s="26"/>
      <c r="C452" s="26"/>
      <c r="D452" s="26"/>
      <c r="E452" s="26"/>
      <c r="F452" s="26"/>
      <c r="G452" s="26"/>
      <c r="H452" s="24"/>
      <c r="I452" s="27"/>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row>
    <row r="453" spans="2:82" ht="16.5" customHeight="1" x14ac:dyDescent="0.3">
      <c r="B453" s="26"/>
      <c r="C453" s="26"/>
      <c r="D453" s="26"/>
      <c r="E453" s="26"/>
      <c r="F453" s="26"/>
      <c r="G453" s="26"/>
      <c r="H453" s="24"/>
      <c r="I453" s="27"/>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row>
    <row r="454" spans="2:82" ht="16.5" customHeight="1" x14ac:dyDescent="0.3">
      <c r="B454" s="26"/>
      <c r="C454" s="26"/>
      <c r="D454" s="26"/>
      <c r="E454" s="26"/>
      <c r="F454" s="26"/>
      <c r="G454" s="26"/>
      <c r="H454" s="24"/>
      <c r="I454" s="27"/>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row>
    <row r="455" spans="2:82" ht="16.5" customHeight="1" x14ac:dyDescent="0.3">
      <c r="B455" s="26"/>
      <c r="C455" s="26"/>
      <c r="D455" s="26"/>
      <c r="E455" s="26"/>
      <c r="F455" s="26"/>
      <c r="G455" s="26"/>
      <c r="H455" s="24"/>
      <c r="I455" s="27"/>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row>
    <row r="456" spans="2:82" ht="16.5" customHeight="1" x14ac:dyDescent="0.3">
      <c r="B456" s="26"/>
      <c r="C456" s="26"/>
      <c r="D456" s="26"/>
      <c r="E456" s="26"/>
      <c r="F456" s="26"/>
      <c r="G456" s="26"/>
      <c r="H456" s="24"/>
      <c r="I456" s="27"/>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row>
    <row r="457" spans="2:82" ht="16.5" customHeight="1" x14ac:dyDescent="0.3">
      <c r="B457" s="26"/>
      <c r="C457" s="26"/>
      <c r="D457" s="26"/>
      <c r="E457" s="26"/>
      <c r="F457" s="26"/>
      <c r="G457" s="26"/>
      <c r="H457" s="24"/>
      <c r="I457" s="27"/>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row>
    <row r="458" spans="2:82" ht="16.5" customHeight="1" x14ac:dyDescent="0.3">
      <c r="B458" s="26"/>
      <c r="C458" s="26"/>
      <c r="D458" s="26"/>
      <c r="E458" s="26"/>
      <c r="F458" s="26"/>
      <c r="G458" s="26"/>
      <c r="H458" s="24"/>
      <c r="I458" s="27"/>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row>
    <row r="459" spans="2:82" ht="16.5" customHeight="1" x14ac:dyDescent="0.3">
      <c r="B459" s="26"/>
      <c r="C459" s="26"/>
      <c r="D459" s="26"/>
      <c r="E459" s="26"/>
      <c r="F459" s="26"/>
      <c r="G459" s="26"/>
      <c r="H459" s="24"/>
      <c r="I459" s="27"/>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row>
    <row r="460" spans="2:82" ht="16.5" customHeight="1" x14ac:dyDescent="0.3">
      <c r="B460" s="26"/>
      <c r="C460" s="26"/>
      <c r="D460" s="26"/>
      <c r="E460" s="26"/>
      <c r="F460" s="26"/>
      <c r="G460" s="26"/>
      <c r="H460" s="24"/>
      <c r="I460" s="27"/>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row>
    <row r="461" spans="2:82" ht="16.5" customHeight="1" x14ac:dyDescent="0.3">
      <c r="B461" s="26"/>
      <c r="C461" s="26"/>
      <c r="D461" s="26"/>
      <c r="E461" s="26"/>
      <c r="F461" s="26"/>
      <c r="G461" s="26"/>
      <c r="H461" s="24"/>
      <c r="I461" s="27"/>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L461" s="24"/>
      <c r="BM461" s="24"/>
      <c r="BN461" s="24"/>
      <c r="BO461" s="24"/>
      <c r="BP461" s="24"/>
      <c r="BQ461" s="24"/>
      <c r="BR461" s="24"/>
      <c r="BS461" s="24"/>
      <c r="BT461" s="24"/>
      <c r="BU461" s="24"/>
      <c r="BV461" s="24"/>
      <c r="BW461" s="24"/>
      <c r="BX461" s="24"/>
      <c r="BY461" s="24"/>
      <c r="BZ461" s="24"/>
      <c r="CA461" s="24"/>
      <c r="CB461" s="24"/>
      <c r="CC461" s="24"/>
      <c r="CD461" s="24"/>
    </row>
    <row r="462" spans="2:82" ht="16.5" customHeight="1" x14ac:dyDescent="0.3">
      <c r="B462" s="26"/>
      <c r="C462" s="26"/>
      <c r="D462" s="26"/>
      <c r="E462" s="26"/>
      <c r="F462" s="26"/>
      <c r="G462" s="26"/>
      <c r="H462" s="24"/>
      <c r="I462" s="27"/>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row>
    <row r="463" spans="2:82" ht="16.5" customHeight="1" x14ac:dyDescent="0.3">
      <c r="B463" s="26"/>
      <c r="C463" s="26"/>
      <c r="D463" s="26"/>
      <c r="E463" s="26"/>
      <c r="F463" s="26"/>
      <c r="G463" s="26"/>
      <c r="H463" s="24"/>
      <c r="I463" s="27"/>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L463" s="24"/>
      <c r="BM463" s="24"/>
      <c r="BN463" s="24"/>
      <c r="BO463" s="24"/>
      <c r="BP463" s="24"/>
      <c r="BQ463" s="24"/>
      <c r="BR463" s="24"/>
      <c r="BS463" s="24"/>
      <c r="BT463" s="24"/>
      <c r="BU463" s="24"/>
      <c r="BV463" s="24"/>
      <c r="BW463" s="24"/>
      <c r="BX463" s="24"/>
      <c r="BY463" s="24"/>
      <c r="BZ463" s="24"/>
      <c r="CA463" s="24"/>
      <c r="CB463" s="24"/>
      <c r="CC463" s="24"/>
      <c r="CD463" s="24"/>
    </row>
    <row r="464" spans="2:82" ht="16.5" customHeight="1" x14ac:dyDescent="0.3">
      <c r="B464" s="26"/>
      <c r="C464" s="26"/>
      <c r="D464" s="26"/>
      <c r="E464" s="26"/>
      <c r="F464" s="26"/>
      <c r="G464" s="26"/>
      <c r="H464" s="24"/>
      <c r="I464" s="27"/>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row>
    <row r="465" spans="2:82" ht="16.5" customHeight="1" x14ac:dyDescent="0.3">
      <c r="B465" s="26"/>
      <c r="C465" s="26"/>
      <c r="D465" s="26"/>
      <c r="E465" s="26"/>
      <c r="F465" s="26"/>
      <c r="G465" s="26"/>
      <c r="H465" s="24"/>
      <c r="I465" s="27"/>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row>
    <row r="466" spans="2:82" ht="16.5" customHeight="1" x14ac:dyDescent="0.3">
      <c r="B466" s="26"/>
      <c r="C466" s="26"/>
      <c r="D466" s="26"/>
      <c r="E466" s="26"/>
      <c r="F466" s="26"/>
      <c r="G466" s="26"/>
      <c r="H466" s="24"/>
      <c r="I466" s="27"/>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row>
    <row r="467" spans="2:82" ht="16.5" customHeight="1" x14ac:dyDescent="0.3">
      <c r="B467" s="26"/>
      <c r="C467" s="26"/>
      <c r="D467" s="26"/>
      <c r="E467" s="26"/>
      <c r="F467" s="26"/>
      <c r="G467" s="26"/>
      <c r="H467" s="24"/>
      <c r="I467" s="27"/>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c r="BF467" s="24"/>
      <c r="BG467" s="24"/>
      <c r="BH467" s="24"/>
      <c r="BI467" s="24"/>
      <c r="BJ467" s="24"/>
      <c r="BK467" s="24"/>
      <c r="BL467" s="24"/>
      <c r="BM467" s="24"/>
      <c r="BN467" s="24"/>
      <c r="BO467" s="24"/>
      <c r="BP467" s="24"/>
      <c r="BQ467" s="24"/>
      <c r="BR467" s="24"/>
      <c r="BS467" s="24"/>
      <c r="BT467" s="24"/>
      <c r="BU467" s="24"/>
      <c r="BV467" s="24"/>
      <c r="BW467" s="24"/>
      <c r="BX467" s="24"/>
      <c r="BY467" s="24"/>
      <c r="BZ467" s="24"/>
      <c r="CA467" s="24"/>
      <c r="CB467" s="24"/>
      <c r="CC467" s="24"/>
      <c r="CD467" s="24"/>
    </row>
    <row r="468" spans="2:82" ht="16.5" customHeight="1" x14ac:dyDescent="0.3">
      <c r="B468" s="26"/>
      <c r="C468" s="26"/>
      <c r="D468" s="26"/>
      <c r="E468" s="26"/>
      <c r="F468" s="26"/>
      <c r="G468" s="26"/>
      <c r="H468" s="24"/>
      <c r="I468" s="27"/>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c r="BF468" s="24"/>
      <c r="BG468" s="24"/>
      <c r="BH468" s="24"/>
      <c r="BI468" s="24"/>
      <c r="BJ468" s="24"/>
      <c r="BK468" s="24"/>
      <c r="BL468" s="24"/>
      <c r="BM468" s="24"/>
      <c r="BN468" s="24"/>
      <c r="BO468" s="24"/>
      <c r="BP468" s="24"/>
      <c r="BQ468" s="24"/>
      <c r="BR468" s="24"/>
      <c r="BS468" s="24"/>
      <c r="BT468" s="24"/>
      <c r="BU468" s="24"/>
      <c r="BV468" s="24"/>
      <c r="BW468" s="24"/>
      <c r="BX468" s="24"/>
      <c r="BY468" s="24"/>
      <c r="BZ468" s="24"/>
      <c r="CA468" s="24"/>
      <c r="CB468" s="24"/>
      <c r="CC468" s="24"/>
      <c r="CD468" s="24"/>
    </row>
    <row r="469" spans="2:82" ht="16.5" customHeight="1" x14ac:dyDescent="0.3">
      <c r="B469" s="26"/>
      <c r="C469" s="26"/>
      <c r="D469" s="26"/>
      <c r="E469" s="26"/>
      <c r="F469" s="26"/>
      <c r="G469" s="26"/>
      <c r="H469" s="24"/>
      <c r="I469" s="27"/>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row>
    <row r="470" spans="2:82" ht="16.5" customHeight="1" x14ac:dyDescent="0.3">
      <c r="B470" s="26"/>
      <c r="C470" s="26"/>
      <c r="D470" s="26"/>
      <c r="E470" s="26"/>
      <c r="F470" s="26"/>
      <c r="G470" s="26"/>
      <c r="H470" s="24"/>
      <c r="I470" s="27"/>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c r="BF470" s="24"/>
      <c r="BG470" s="24"/>
      <c r="BH470" s="24"/>
      <c r="BI470" s="24"/>
      <c r="BJ470" s="24"/>
      <c r="BK470" s="24"/>
      <c r="BL470" s="24"/>
      <c r="BM470" s="24"/>
      <c r="BN470" s="24"/>
      <c r="BO470" s="24"/>
      <c r="BP470" s="24"/>
      <c r="BQ470" s="24"/>
      <c r="BR470" s="24"/>
      <c r="BS470" s="24"/>
      <c r="BT470" s="24"/>
      <c r="BU470" s="24"/>
      <c r="BV470" s="24"/>
      <c r="BW470" s="24"/>
      <c r="BX470" s="24"/>
      <c r="BY470" s="24"/>
      <c r="BZ470" s="24"/>
      <c r="CA470" s="24"/>
      <c r="CB470" s="24"/>
      <c r="CC470" s="24"/>
      <c r="CD470" s="24"/>
    </row>
    <row r="471" spans="2:82" ht="16.5" customHeight="1" x14ac:dyDescent="0.3">
      <c r="B471" s="26"/>
      <c r="C471" s="26"/>
      <c r="D471" s="26"/>
      <c r="E471" s="26"/>
      <c r="F471" s="26"/>
      <c r="G471" s="26"/>
      <c r="H471" s="24"/>
      <c r="I471" s="27"/>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c r="CA471" s="24"/>
      <c r="CB471" s="24"/>
      <c r="CC471" s="24"/>
      <c r="CD471" s="24"/>
    </row>
    <row r="472" spans="2:82" ht="16.5" customHeight="1" x14ac:dyDescent="0.3">
      <c r="B472" s="26"/>
      <c r="C472" s="26"/>
      <c r="D472" s="26"/>
      <c r="E472" s="26"/>
      <c r="F472" s="26"/>
      <c r="G472" s="26"/>
      <c r="H472" s="24"/>
      <c r="I472" s="27"/>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row>
    <row r="473" spans="2:82" ht="16.5" customHeight="1" x14ac:dyDescent="0.3">
      <c r="B473" s="26"/>
      <c r="C473" s="26"/>
      <c r="D473" s="26"/>
      <c r="E473" s="26"/>
      <c r="F473" s="26"/>
      <c r="G473" s="26"/>
      <c r="H473" s="24"/>
      <c r="I473" s="27"/>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row>
    <row r="474" spans="2:82" ht="16.5" customHeight="1" x14ac:dyDescent="0.3">
      <c r="B474" s="26"/>
      <c r="C474" s="26"/>
      <c r="D474" s="26"/>
      <c r="E474" s="26"/>
      <c r="F474" s="26"/>
      <c r="G474" s="26"/>
      <c r="H474" s="24"/>
      <c r="I474" s="27"/>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row>
    <row r="475" spans="2:82" ht="16.5" customHeight="1" x14ac:dyDescent="0.3">
      <c r="B475" s="26"/>
      <c r="C475" s="26"/>
      <c r="D475" s="26"/>
      <c r="E475" s="26"/>
      <c r="F475" s="26"/>
      <c r="G475" s="26"/>
      <c r="H475" s="24"/>
      <c r="I475" s="27"/>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row>
    <row r="476" spans="2:82" ht="16.5" customHeight="1" x14ac:dyDescent="0.3">
      <c r="B476" s="26"/>
      <c r="C476" s="26"/>
      <c r="D476" s="26"/>
      <c r="E476" s="26"/>
      <c r="F476" s="26"/>
      <c r="G476" s="26"/>
      <c r="H476" s="24"/>
      <c r="I476" s="27"/>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row>
    <row r="477" spans="2:82" ht="16.5" customHeight="1" x14ac:dyDescent="0.3">
      <c r="B477" s="26"/>
      <c r="C477" s="26"/>
      <c r="D477" s="26"/>
      <c r="E477" s="26"/>
      <c r="F477" s="26"/>
      <c r="G477" s="26"/>
      <c r="H477" s="24"/>
      <c r="I477" s="27"/>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row>
    <row r="478" spans="2:82" ht="16.5" customHeight="1" x14ac:dyDescent="0.3">
      <c r="B478" s="26"/>
      <c r="C478" s="26"/>
      <c r="D478" s="26"/>
      <c r="E478" s="26"/>
      <c r="F478" s="26"/>
      <c r="G478" s="26"/>
      <c r="H478" s="24"/>
      <c r="I478" s="27"/>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c r="BF478" s="24"/>
      <c r="BG478" s="24"/>
      <c r="BH478" s="24"/>
      <c r="BI478" s="24"/>
      <c r="BJ478" s="24"/>
      <c r="BK478" s="24"/>
      <c r="BL478" s="24"/>
      <c r="BM478" s="24"/>
      <c r="BN478" s="24"/>
      <c r="BO478" s="24"/>
      <c r="BP478" s="24"/>
      <c r="BQ478" s="24"/>
      <c r="BR478" s="24"/>
      <c r="BS478" s="24"/>
      <c r="BT478" s="24"/>
      <c r="BU478" s="24"/>
      <c r="BV478" s="24"/>
      <c r="BW478" s="24"/>
      <c r="BX478" s="24"/>
      <c r="BY478" s="24"/>
      <c r="BZ478" s="24"/>
      <c r="CA478" s="24"/>
      <c r="CB478" s="24"/>
      <c r="CC478" s="24"/>
      <c r="CD478" s="24"/>
    </row>
    <row r="479" spans="2:82" ht="16.5" customHeight="1" x14ac:dyDescent="0.3">
      <c r="B479" s="26"/>
      <c r="C479" s="26"/>
      <c r="D479" s="26"/>
      <c r="E479" s="26"/>
      <c r="F479" s="26"/>
      <c r="G479" s="26"/>
      <c r="H479" s="24"/>
      <c r="I479" s="27"/>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row>
    <row r="480" spans="2:82" ht="16.5" customHeight="1" x14ac:dyDescent="0.3">
      <c r="B480" s="26"/>
      <c r="C480" s="26"/>
      <c r="D480" s="26"/>
      <c r="E480" s="26"/>
      <c r="F480" s="26"/>
      <c r="G480" s="26"/>
      <c r="H480" s="24"/>
      <c r="I480" s="27"/>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row>
    <row r="481" spans="2:82" ht="16.5" customHeight="1" x14ac:dyDescent="0.3">
      <c r="B481" s="26"/>
      <c r="C481" s="26"/>
      <c r="D481" s="26"/>
      <c r="E481" s="26"/>
      <c r="F481" s="26"/>
      <c r="G481" s="26"/>
      <c r="H481" s="24"/>
      <c r="I481" s="27"/>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c r="BF481" s="24"/>
      <c r="BG481" s="24"/>
      <c r="BH481" s="24"/>
      <c r="BI481" s="24"/>
      <c r="BJ481" s="24"/>
      <c r="BK481" s="24"/>
      <c r="BL481" s="24"/>
      <c r="BM481" s="24"/>
      <c r="BN481" s="24"/>
      <c r="BO481" s="24"/>
      <c r="BP481" s="24"/>
      <c r="BQ481" s="24"/>
      <c r="BR481" s="24"/>
      <c r="BS481" s="24"/>
      <c r="BT481" s="24"/>
      <c r="BU481" s="24"/>
      <c r="BV481" s="24"/>
      <c r="BW481" s="24"/>
      <c r="BX481" s="24"/>
      <c r="BY481" s="24"/>
      <c r="BZ481" s="24"/>
      <c r="CA481" s="24"/>
      <c r="CB481" s="24"/>
      <c r="CC481" s="24"/>
      <c r="CD481" s="24"/>
    </row>
    <row r="482" spans="2:82" ht="16.5" customHeight="1" x14ac:dyDescent="0.3">
      <c r="B482" s="26"/>
      <c r="C482" s="26"/>
      <c r="D482" s="26"/>
      <c r="E482" s="26"/>
      <c r="F482" s="26"/>
      <c r="G482" s="26"/>
      <c r="H482" s="24"/>
      <c r="I482" s="27"/>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row>
    <row r="483" spans="2:82" ht="16.5" customHeight="1" x14ac:dyDescent="0.3">
      <c r="B483" s="26"/>
      <c r="C483" s="26"/>
      <c r="D483" s="26"/>
      <c r="E483" s="26"/>
      <c r="F483" s="26"/>
      <c r="G483" s="26"/>
      <c r="H483" s="24"/>
      <c r="I483" s="27"/>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row>
    <row r="484" spans="2:82" ht="16.5" customHeight="1" x14ac:dyDescent="0.3">
      <c r="B484" s="26"/>
      <c r="C484" s="26"/>
      <c r="D484" s="26"/>
      <c r="E484" s="26"/>
      <c r="F484" s="26"/>
      <c r="G484" s="26"/>
      <c r="H484" s="24"/>
      <c r="I484" s="27"/>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row>
    <row r="485" spans="2:82" ht="16.5" customHeight="1" x14ac:dyDescent="0.3">
      <c r="B485" s="26"/>
      <c r="C485" s="26"/>
      <c r="D485" s="26"/>
      <c r="E485" s="26"/>
      <c r="F485" s="26"/>
      <c r="G485" s="26"/>
      <c r="H485" s="24"/>
      <c r="I485" s="27"/>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row>
    <row r="486" spans="2:82" ht="16.5" customHeight="1" x14ac:dyDescent="0.3">
      <c r="B486" s="26"/>
      <c r="C486" s="26"/>
      <c r="D486" s="26"/>
      <c r="E486" s="26"/>
      <c r="F486" s="26"/>
      <c r="G486" s="26"/>
      <c r="H486" s="24"/>
      <c r="I486" s="27"/>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c r="BF486" s="24"/>
      <c r="BG486" s="24"/>
      <c r="BH486" s="24"/>
      <c r="BI486" s="24"/>
      <c r="BJ486" s="24"/>
      <c r="BK486" s="24"/>
      <c r="BL486" s="24"/>
      <c r="BM486" s="24"/>
      <c r="BN486" s="24"/>
      <c r="BO486" s="24"/>
      <c r="BP486" s="24"/>
      <c r="BQ486" s="24"/>
      <c r="BR486" s="24"/>
      <c r="BS486" s="24"/>
      <c r="BT486" s="24"/>
      <c r="BU486" s="24"/>
      <c r="BV486" s="24"/>
      <c r="BW486" s="24"/>
      <c r="BX486" s="24"/>
      <c r="BY486" s="24"/>
      <c r="BZ486" s="24"/>
      <c r="CA486" s="24"/>
      <c r="CB486" s="24"/>
      <c r="CC486" s="24"/>
      <c r="CD486" s="24"/>
    </row>
    <row r="487" spans="2:82" ht="16.5" customHeight="1" x14ac:dyDescent="0.3">
      <c r="B487" s="26"/>
      <c r="C487" s="26"/>
      <c r="D487" s="26"/>
      <c r="E487" s="26"/>
      <c r="F487" s="26"/>
      <c r="G487" s="26"/>
      <c r="H487" s="24"/>
      <c r="I487" s="27"/>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row>
    <row r="488" spans="2:82" ht="16.5" customHeight="1" x14ac:dyDescent="0.3">
      <c r="B488" s="26"/>
      <c r="C488" s="26"/>
      <c r="D488" s="26"/>
      <c r="E488" s="26"/>
      <c r="F488" s="26"/>
      <c r="G488" s="26"/>
      <c r="H488" s="24"/>
      <c r="I488" s="27"/>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row>
    <row r="489" spans="2:82" ht="16.5" customHeight="1" x14ac:dyDescent="0.3">
      <c r="B489" s="26"/>
      <c r="C489" s="26"/>
      <c r="D489" s="26"/>
      <c r="E489" s="26"/>
      <c r="F489" s="26"/>
      <c r="G489" s="26"/>
      <c r="H489" s="24"/>
      <c r="I489" s="27"/>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c r="BF489" s="24"/>
      <c r="BG489" s="24"/>
      <c r="BH489" s="24"/>
      <c r="BI489" s="24"/>
      <c r="BJ489" s="24"/>
      <c r="BK489" s="24"/>
      <c r="BL489" s="24"/>
      <c r="BM489" s="24"/>
      <c r="BN489" s="24"/>
      <c r="BO489" s="24"/>
      <c r="BP489" s="24"/>
      <c r="BQ489" s="24"/>
      <c r="BR489" s="24"/>
      <c r="BS489" s="24"/>
      <c r="BT489" s="24"/>
      <c r="BU489" s="24"/>
      <c r="BV489" s="24"/>
      <c r="BW489" s="24"/>
      <c r="BX489" s="24"/>
      <c r="BY489" s="24"/>
      <c r="BZ489" s="24"/>
      <c r="CA489" s="24"/>
      <c r="CB489" s="24"/>
      <c r="CC489" s="24"/>
      <c r="CD489" s="24"/>
    </row>
    <row r="490" spans="2:82" ht="16.5" customHeight="1" x14ac:dyDescent="0.3">
      <c r="B490" s="26"/>
      <c r="C490" s="26"/>
      <c r="D490" s="26"/>
      <c r="E490" s="26"/>
      <c r="F490" s="26"/>
      <c r="G490" s="26"/>
      <c r="H490" s="24"/>
      <c r="I490" s="27"/>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row>
    <row r="491" spans="2:82" ht="16.5" customHeight="1" x14ac:dyDescent="0.3">
      <c r="B491" s="26"/>
      <c r="C491" s="26"/>
      <c r="D491" s="26"/>
      <c r="E491" s="26"/>
      <c r="F491" s="26"/>
      <c r="G491" s="26"/>
      <c r="H491" s="24"/>
      <c r="I491" s="27"/>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row>
    <row r="492" spans="2:82" ht="16.5" customHeight="1" x14ac:dyDescent="0.3">
      <c r="B492" s="26"/>
      <c r="C492" s="26"/>
      <c r="D492" s="26"/>
      <c r="E492" s="26"/>
      <c r="F492" s="26"/>
      <c r="G492" s="26"/>
      <c r="H492" s="24"/>
      <c r="I492" s="27"/>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row>
    <row r="493" spans="2:82" ht="16.5" customHeight="1" x14ac:dyDescent="0.3">
      <c r="B493" s="26"/>
      <c r="C493" s="26"/>
      <c r="D493" s="26"/>
      <c r="E493" s="26"/>
      <c r="F493" s="26"/>
      <c r="G493" s="26"/>
      <c r="H493" s="24"/>
      <c r="I493" s="27"/>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row>
    <row r="494" spans="2:82" ht="16.5" customHeight="1" x14ac:dyDescent="0.3">
      <c r="B494" s="26"/>
      <c r="C494" s="26"/>
      <c r="D494" s="26"/>
      <c r="E494" s="26"/>
      <c r="F494" s="26"/>
      <c r="G494" s="26"/>
      <c r="H494" s="24"/>
      <c r="I494" s="27"/>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row>
    <row r="495" spans="2:82" ht="16.5" customHeight="1" x14ac:dyDescent="0.3">
      <c r="B495" s="26"/>
      <c r="C495" s="26"/>
      <c r="D495" s="26"/>
      <c r="E495" s="26"/>
      <c r="F495" s="26"/>
      <c r="G495" s="26"/>
      <c r="H495" s="24"/>
      <c r="I495" s="27"/>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row>
    <row r="496" spans="2:82" ht="16.5" customHeight="1" x14ac:dyDescent="0.3">
      <c r="B496" s="26"/>
      <c r="C496" s="26"/>
      <c r="D496" s="26"/>
      <c r="E496" s="26"/>
      <c r="F496" s="26"/>
      <c r="G496" s="26"/>
      <c r="H496" s="24"/>
      <c r="I496" s="27"/>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c r="BF496" s="24"/>
      <c r="BG496" s="24"/>
      <c r="BH496" s="24"/>
      <c r="BI496" s="24"/>
      <c r="BJ496" s="24"/>
      <c r="BK496" s="24"/>
      <c r="BL496" s="24"/>
      <c r="BM496" s="24"/>
      <c r="BN496" s="24"/>
      <c r="BO496" s="24"/>
      <c r="BP496" s="24"/>
      <c r="BQ496" s="24"/>
      <c r="BR496" s="24"/>
      <c r="BS496" s="24"/>
      <c r="BT496" s="24"/>
      <c r="BU496" s="24"/>
      <c r="BV496" s="24"/>
      <c r="BW496" s="24"/>
      <c r="BX496" s="24"/>
      <c r="BY496" s="24"/>
      <c r="BZ496" s="24"/>
      <c r="CA496" s="24"/>
      <c r="CB496" s="24"/>
      <c r="CC496" s="24"/>
      <c r="CD496" s="24"/>
    </row>
    <row r="497" spans="2:82" ht="16.5" customHeight="1" x14ac:dyDescent="0.3">
      <c r="B497" s="26"/>
      <c r="C497" s="26"/>
      <c r="D497" s="26"/>
      <c r="E497" s="26"/>
      <c r="F497" s="26"/>
      <c r="G497" s="26"/>
      <c r="H497" s="24"/>
      <c r="I497" s="27"/>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row>
    <row r="498" spans="2:82" ht="16.5" customHeight="1" x14ac:dyDescent="0.3">
      <c r="B498" s="26"/>
      <c r="C498" s="26"/>
      <c r="D498" s="26"/>
      <c r="E498" s="26"/>
      <c r="F498" s="26"/>
      <c r="G498" s="26"/>
      <c r="H498" s="24"/>
      <c r="I498" s="27"/>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row>
    <row r="499" spans="2:82" ht="16.5" customHeight="1" x14ac:dyDescent="0.3">
      <c r="B499" s="26"/>
      <c r="C499" s="26"/>
      <c r="D499" s="26"/>
      <c r="E499" s="26"/>
      <c r="F499" s="26"/>
      <c r="G499" s="26"/>
      <c r="H499" s="24"/>
      <c r="I499" s="27"/>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row>
    <row r="500" spans="2:82" ht="16.5" customHeight="1" x14ac:dyDescent="0.3">
      <c r="B500" s="26"/>
      <c r="C500" s="26"/>
      <c r="D500" s="26"/>
      <c r="E500" s="26"/>
      <c r="F500" s="26"/>
      <c r="G500" s="26"/>
      <c r="H500" s="24"/>
      <c r="I500" s="27"/>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row>
    <row r="501" spans="2:82" ht="16.5" customHeight="1" x14ac:dyDescent="0.3">
      <c r="B501" s="26"/>
      <c r="C501" s="26"/>
      <c r="D501" s="26"/>
      <c r="E501" s="26"/>
      <c r="F501" s="26"/>
      <c r="G501" s="26"/>
      <c r="H501" s="24"/>
      <c r="I501" s="27"/>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c r="BF501" s="24"/>
      <c r="BG501" s="24"/>
      <c r="BH501" s="24"/>
      <c r="BI501" s="24"/>
      <c r="BJ501" s="24"/>
      <c r="BK501" s="24"/>
      <c r="BL501" s="24"/>
      <c r="BM501" s="24"/>
      <c r="BN501" s="24"/>
      <c r="BO501" s="24"/>
      <c r="BP501" s="24"/>
      <c r="BQ501" s="24"/>
      <c r="BR501" s="24"/>
      <c r="BS501" s="24"/>
      <c r="BT501" s="24"/>
      <c r="BU501" s="24"/>
      <c r="BV501" s="24"/>
      <c r="BW501" s="24"/>
      <c r="BX501" s="24"/>
      <c r="BY501" s="24"/>
      <c r="BZ501" s="24"/>
      <c r="CA501" s="24"/>
      <c r="CB501" s="24"/>
      <c r="CC501" s="24"/>
      <c r="CD501" s="24"/>
    </row>
    <row r="502" spans="2:82" ht="16.5" customHeight="1" x14ac:dyDescent="0.3">
      <c r="B502" s="26"/>
      <c r="C502" s="26"/>
      <c r="D502" s="26"/>
      <c r="E502" s="26"/>
      <c r="F502" s="26"/>
      <c r="G502" s="26"/>
      <c r="H502" s="24"/>
      <c r="I502" s="27"/>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row>
    <row r="503" spans="2:82" ht="16.5" customHeight="1" x14ac:dyDescent="0.3">
      <c r="B503" s="26"/>
      <c r="C503" s="26"/>
      <c r="D503" s="26"/>
      <c r="E503" s="26"/>
      <c r="F503" s="26"/>
      <c r="G503" s="26"/>
      <c r="H503" s="24"/>
      <c r="I503" s="27"/>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row>
    <row r="504" spans="2:82" ht="16.5" customHeight="1" x14ac:dyDescent="0.3">
      <c r="B504" s="26"/>
      <c r="C504" s="26"/>
      <c r="D504" s="26"/>
      <c r="E504" s="26"/>
      <c r="F504" s="26"/>
      <c r="G504" s="26"/>
      <c r="H504" s="24"/>
      <c r="I504" s="27"/>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row>
    <row r="505" spans="2:82" ht="16.5" customHeight="1" x14ac:dyDescent="0.3">
      <c r="B505" s="26"/>
      <c r="C505" s="26"/>
      <c r="D505" s="26"/>
      <c r="E505" s="26"/>
      <c r="F505" s="26"/>
      <c r="G505" s="26"/>
      <c r="H505" s="24"/>
      <c r="I505" s="27"/>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row>
    <row r="506" spans="2:82" ht="16.5" customHeight="1" x14ac:dyDescent="0.3">
      <c r="B506" s="26"/>
      <c r="C506" s="26"/>
      <c r="D506" s="26"/>
      <c r="E506" s="26"/>
      <c r="F506" s="26"/>
      <c r="G506" s="26"/>
      <c r="H506" s="24"/>
      <c r="I506" s="27"/>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row>
    <row r="507" spans="2:82" ht="16.5" customHeight="1" x14ac:dyDescent="0.3">
      <c r="B507" s="26"/>
      <c r="C507" s="26"/>
      <c r="D507" s="26"/>
      <c r="E507" s="26"/>
      <c r="F507" s="26"/>
      <c r="G507" s="26"/>
      <c r="H507" s="24"/>
      <c r="I507" s="27"/>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row>
    <row r="508" spans="2:82" ht="16.5" customHeight="1" x14ac:dyDescent="0.3">
      <c r="B508" s="26"/>
      <c r="C508" s="26"/>
      <c r="D508" s="26"/>
      <c r="E508" s="26"/>
      <c r="F508" s="26"/>
      <c r="G508" s="26"/>
      <c r="H508" s="24"/>
      <c r="I508" s="27"/>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row>
    <row r="509" spans="2:82" ht="16.5" customHeight="1" x14ac:dyDescent="0.3">
      <c r="B509" s="26"/>
      <c r="C509" s="26"/>
      <c r="D509" s="26"/>
      <c r="E509" s="26"/>
      <c r="F509" s="26"/>
      <c r="G509" s="26"/>
      <c r="H509" s="24"/>
      <c r="I509" s="27"/>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row>
    <row r="510" spans="2:82" ht="16.5" customHeight="1" x14ac:dyDescent="0.3">
      <c r="B510" s="26"/>
      <c r="C510" s="26"/>
      <c r="D510" s="26"/>
      <c r="E510" s="26"/>
      <c r="F510" s="26"/>
      <c r="G510" s="26"/>
      <c r="H510" s="24"/>
      <c r="I510" s="27"/>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c r="BF510" s="24"/>
      <c r="BG510" s="24"/>
      <c r="BH510" s="24"/>
      <c r="BI510" s="24"/>
      <c r="BJ510" s="24"/>
      <c r="BK510" s="24"/>
      <c r="BL510" s="24"/>
      <c r="BM510" s="24"/>
      <c r="BN510" s="24"/>
      <c r="BO510" s="24"/>
      <c r="BP510" s="24"/>
      <c r="BQ510" s="24"/>
      <c r="BR510" s="24"/>
      <c r="BS510" s="24"/>
      <c r="BT510" s="24"/>
      <c r="BU510" s="24"/>
      <c r="BV510" s="24"/>
      <c r="BW510" s="24"/>
      <c r="BX510" s="24"/>
      <c r="BY510" s="24"/>
      <c r="BZ510" s="24"/>
      <c r="CA510" s="24"/>
      <c r="CB510" s="24"/>
      <c r="CC510" s="24"/>
      <c r="CD510" s="24"/>
    </row>
    <row r="511" spans="2:82" ht="16.5" customHeight="1" x14ac:dyDescent="0.3">
      <c r="B511" s="26"/>
      <c r="C511" s="26"/>
      <c r="D511" s="26"/>
      <c r="E511" s="26"/>
      <c r="F511" s="26"/>
      <c r="G511" s="26"/>
      <c r="H511" s="24"/>
      <c r="I511" s="27"/>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row>
    <row r="512" spans="2:82" ht="16.5" customHeight="1" x14ac:dyDescent="0.3">
      <c r="B512" s="26"/>
      <c r="C512" s="26"/>
      <c r="D512" s="26"/>
      <c r="E512" s="26"/>
      <c r="F512" s="26"/>
      <c r="G512" s="26"/>
      <c r="H512" s="24"/>
      <c r="I512" s="27"/>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row>
    <row r="513" spans="2:82" ht="16.5" customHeight="1" x14ac:dyDescent="0.3">
      <c r="B513" s="26"/>
      <c r="C513" s="26"/>
      <c r="D513" s="26"/>
      <c r="E513" s="26"/>
      <c r="F513" s="26"/>
      <c r="G513" s="26"/>
      <c r="H513" s="24"/>
      <c r="I513" s="27"/>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row>
    <row r="514" spans="2:82" ht="16.5" customHeight="1" x14ac:dyDescent="0.3">
      <c r="B514" s="26"/>
      <c r="C514" s="26"/>
      <c r="D514" s="26"/>
      <c r="E514" s="26"/>
      <c r="F514" s="26"/>
      <c r="G514" s="26"/>
      <c r="H514" s="24"/>
      <c r="I514" s="27"/>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row>
    <row r="515" spans="2:82" ht="16.5" customHeight="1" x14ac:dyDescent="0.3">
      <c r="B515" s="26"/>
      <c r="C515" s="26"/>
      <c r="D515" s="26"/>
      <c r="E515" s="26"/>
      <c r="F515" s="26"/>
      <c r="G515" s="26"/>
      <c r="H515" s="24"/>
      <c r="I515" s="27"/>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row>
    <row r="516" spans="2:82" ht="16.5" customHeight="1" x14ac:dyDescent="0.3">
      <c r="B516" s="26"/>
      <c r="C516" s="26"/>
      <c r="D516" s="26"/>
      <c r="E516" s="26"/>
      <c r="F516" s="26"/>
      <c r="G516" s="26"/>
      <c r="H516" s="24"/>
      <c r="I516" s="27"/>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row>
    <row r="517" spans="2:82" ht="16.5" customHeight="1" x14ac:dyDescent="0.3">
      <c r="B517" s="26"/>
      <c r="C517" s="26"/>
      <c r="D517" s="26"/>
      <c r="E517" s="26"/>
      <c r="F517" s="26"/>
      <c r="G517" s="26"/>
      <c r="H517" s="24"/>
      <c r="I517" s="27"/>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c r="BF517" s="24"/>
      <c r="BG517" s="24"/>
      <c r="BH517" s="24"/>
      <c r="BI517" s="24"/>
      <c r="BJ517" s="24"/>
      <c r="BK517" s="24"/>
      <c r="BL517" s="24"/>
      <c r="BM517" s="24"/>
      <c r="BN517" s="24"/>
      <c r="BO517" s="24"/>
      <c r="BP517" s="24"/>
      <c r="BQ517" s="24"/>
      <c r="BR517" s="24"/>
      <c r="BS517" s="24"/>
      <c r="BT517" s="24"/>
      <c r="BU517" s="24"/>
      <c r="BV517" s="24"/>
      <c r="BW517" s="24"/>
      <c r="BX517" s="24"/>
      <c r="BY517" s="24"/>
      <c r="BZ517" s="24"/>
      <c r="CA517" s="24"/>
      <c r="CB517" s="24"/>
      <c r="CC517" s="24"/>
      <c r="CD517" s="24"/>
    </row>
    <row r="518" spans="2:82" ht="16.5" customHeight="1" x14ac:dyDescent="0.3">
      <c r="B518" s="26"/>
      <c r="C518" s="26"/>
      <c r="D518" s="26"/>
      <c r="E518" s="26"/>
      <c r="F518" s="26"/>
      <c r="G518" s="26"/>
      <c r="H518" s="24"/>
      <c r="I518" s="27"/>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c r="BF518" s="24"/>
      <c r="BG518" s="24"/>
      <c r="BH518" s="24"/>
      <c r="BI518" s="24"/>
      <c r="BJ518" s="24"/>
      <c r="BK518" s="24"/>
      <c r="BL518" s="24"/>
      <c r="BM518" s="24"/>
      <c r="BN518" s="24"/>
      <c r="BO518" s="24"/>
      <c r="BP518" s="24"/>
      <c r="BQ518" s="24"/>
      <c r="BR518" s="24"/>
      <c r="BS518" s="24"/>
      <c r="BT518" s="24"/>
      <c r="BU518" s="24"/>
      <c r="BV518" s="24"/>
      <c r="BW518" s="24"/>
      <c r="BX518" s="24"/>
      <c r="BY518" s="24"/>
      <c r="BZ518" s="24"/>
      <c r="CA518" s="24"/>
      <c r="CB518" s="24"/>
      <c r="CC518" s="24"/>
      <c r="CD518" s="24"/>
    </row>
    <row r="519" spans="2:82" ht="16.5" customHeight="1" x14ac:dyDescent="0.3">
      <c r="B519" s="26"/>
      <c r="C519" s="26"/>
      <c r="D519" s="26"/>
      <c r="E519" s="26"/>
      <c r="F519" s="26"/>
      <c r="G519" s="26"/>
      <c r="H519" s="24"/>
      <c r="I519" s="27"/>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c r="BF519" s="24"/>
      <c r="BG519" s="24"/>
      <c r="BH519" s="24"/>
      <c r="BI519" s="24"/>
      <c r="BJ519" s="24"/>
      <c r="BK519" s="24"/>
      <c r="BL519" s="24"/>
      <c r="BM519" s="24"/>
      <c r="BN519" s="24"/>
      <c r="BO519" s="24"/>
      <c r="BP519" s="24"/>
      <c r="BQ519" s="24"/>
      <c r="BR519" s="24"/>
      <c r="BS519" s="24"/>
      <c r="BT519" s="24"/>
      <c r="BU519" s="24"/>
      <c r="BV519" s="24"/>
      <c r="BW519" s="24"/>
      <c r="BX519" s="24"/>
      <c r="BY519" s="24"/>
      <c r="BZ519" s="24"/>
      <c r="CA519" s="24"/>
      <c r="CB519" s="24"/>
      <c r="CC519" s="24"/>
      <c r="CD519" s="24"/>
    </row>
    <row r="520" spans="2:82" ht="16.5" customHeight="1" x14ac:dyDescent="0.3">
      <c r="B520" s="26"/>
      <c r="C520" s="26"/>
      <c r="D520" s="26"/>
      <c r="E520" s="26"/>
      <c r="F520" s="26"/>
      <c r="G520" s="26"/>
      <c r="H520" s="24"/>
      <c r="I520" s="27"/>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c r="BF520" s="24"/>
      <c r="BG520" s="24"/>
      <c r="BH520" s="24"/>
      <c r="BI520" s="24"/>
      <c r="BJ520" s="24"/>
      <c r="BK520" s="24"/>
      <c r="BL520" s="24"/>
      <c r="BM520" s="24"/>
      <c r="BN520" s="24"/>
      <c r="BO520" s="24"/>
      <c r="BP520" s="24"/>
      <c r="BQ520" s="24"/>
      <c r="BR520" s="24"/>
      <c r="BS520" s="24"/>
      <c r="BT520" s="24"/>
      <c r="BU520" s="24"/>
      <c r="BV520" s="24"/>
      <c r="BW520" s="24"/>
      <c r="BX520" s="24"/>
      <c r="BY520" s="24"/>
      <c r="BZ520" s="24"/>
      <c r="CA520" s="24"/>
      <c r="CB520" s="24"/>
      <c r="CC520" s="24"/>
      <c r="CD520" s="24"/>
    </row>
    <row r="521" spans="2:82" ht="16.5" customHeight="1" x14ac:dyDescent="0.3">
      <c r="B521" s="26"/>
      <c r="C521" s="26"/>
      <c r="D521" s="26"/>
      <c r="E521" s="26"/>
      <c r="F521" s="26"/>
      <c r="G521" s="26"/>
      <c r="H521" s="24"/>
      <c r="I521" s="27"/>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row>
    <row r="522" spans="2:82" ht="16.5" customHeight="1" x14ac:dyDescent="0.3">
      <c r="B522" s="26"/>
      <c r="C522" s="26"/>
      <c r="D522" s="26"/>
      <c r="E522" s="26"/>
      <c r="F522" s="26"/>
      <c r="G522" s="26"/>
      <c r="H522" s="24"/>
      <c r="I522" s="27"/>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row>
    <row r="523" spans="2:82" ht="16.5" customHeight="1" x14ac:dyDescent="0.3">
      <c r="B523" s="26"/>
      <c r="C523" s="26"/>
      <c r="D523" s="26"/>
      <c r="E523" s="26"/>
      <c r="F523" s="26"/>
      <c r="G523" s="26"/>
      <c r="H523" s="24"/>
      <c r="I523" s="27"/>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c r="BF523" s="24"/>
      <c r="BG523" s="24"/>
      <c r="BH523" s="24"/>
      <c r="BI523" s="24"/>
      <c r="BJ523" s="24"/>
      <c r="BK523" s="24"/>
      <c r="BL523" s="24"/>
      <c r="BM523" s="24"/>
      <c r="BN523" s="24"/>
      <c r="BO523" s="24"/>
      <c r="BP523" s="24"/>
      <c r="BQ523" s="24"/>
      <c r="BR523" s="24"/>
      <c r="BS523" s="24"/>
      <c r="BT523" s="24"/>
      <c r="BU523" s="24"/>
      <c r="BV523" s="24"/>
      <c r="BW523" s="24"/>
      <c r="BX523" s="24"/>
      <c r="BY523" s="24"/>
      <c r="BZ523" s="24"/>
      <c r="CA523" s="24"/>
      <c r="CB523" s="24"/>
      <c r="CC523" s="24"/>
      <c r="CD523" s="24"/>
    </row>
    <row r="524" spans="2:82" ht="16.5" customHeight="1" x14ac:dyDescent="0.3">
      <c r="B524" s="26"/>
      <c r="C524" s="26"/>
      <c r="D524" s="26"/>
      <c r="E524" s="26"/>
      <c r="F524" s="26"/>
      <c r="G524" s="26"/>
      <c r="H524" s="24"/>
      <c r="I524" s="27"/>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c r="BF524" s="24"/>
      <c r="BG524" s="24"/>
      <c r="BH524" s="24"/>
      <c r="BI524" s="24"/>
      <c r="BJ524" s="24"/>
      <c r="BK524" s="24"/>
      <c r="BL524" s="24"/>
      <c r="BM524" s="24"/>
      <c r="BN524" s="24"/>
      <c r="BO524" s="24"/>
      <c r="BP524" s="24"/>
      <c r="BQ524" s="24"/>
      <c r="BR524" s="24"/>
      <c r="BS524" s="24"/>
      <c r="BT524" s="24"/>
      <c r="BU524" s="24"/>
      <c r="BV524" s="24"/>
      <c r="BW524" s="24"/>
      <c r="BX524" s="24"/>
      <c r="BY524" s="24"/>
      <c r="BZ524" s="24"/>
      <c r="CA524" s="24"/>
      <c r="CB524" s="24"/>
      <c r="CC524" s="24"/>
      <c r="CD524" s="24"/>
    </row>
    <row r="525" spans="2:82" ht="16.5" customHeight="1" x14ac:dyDescent="0.3">
      <c r="B525" s="26"/>
      <c r="C525" s="26"/>
      <c r="D525" s="26"/>
      <c r="E525" s="26"/>
      <c r="F525" s="26"/>
      <c r="G525" s="26"/>
      <c r="H525" s="24"/>
      <c r="I525" s="27"/>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c r="BF525" s="24"/>
      <c r="BG525" s="24"/>
      <c r="BH525" s="24"/>
      <c r="BI525" s="24"/>
      <c r="BJ525" s="24"/>
      <c r="BK525" s="24"/>
      <c r="BL525" s="24"/>
      <c r="BM525" s="24"/>
      <c r="BN525" s="24"/>
      <c r="BO525" s="24"/>
      <c r="BP525" s="24"/>
      <c r="BQ525" s="24"/>
      <c r="BR525" s="24"/>
      <c r="BS525" s="24"/>
      <c r="BT525" s="24"/>
      <c r="BU525" s="24"/>
      <c r="BV525" s="24"/>
      <c r="BW525" s="24"/>
      <c r="BX525" s="24"/>
      <c r="BY525" s="24"/>
      <c r="BZ525" s="24"/>
      <c r="CA525" s="24"/>
      <c r="CB525" s="24"/>
      <c r="CC525" s="24"/>
      <c r="CD525" s="24"/>
    </row>
    <row r="526" spans="2:82" ht="16.5" customHeight="1" x14ac:dyDescent="0.3">
      <c r="B526" s="26"/>
      <c r="C526" s="26"/>
      <c r="D526" s="26"/>
      <c r="E526" s="26"/>
      <c r="F526" s="26"/>
      <c r="G526" s="26"/>
      <c r="H526" s="24"/>
      <c r="I526" s="27"/>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c r="BF526" s="24"/>
      <c r="BG526" s="24"/>
      <c r="BH526" s="24"/>
      <c r="BI526" s="24"/>
      <c r="BJ526" s="24"/>
      <c r="BK526" s="24"/>
      <c r="BL526" s="24"/>
      <c r="BM526" s="24"/>
      <c r="BN526" s="24"/>
      <c r="BO526" s="24"/>
      <c r="BP526" s="24"/>
      <c r="BQ526" s="24"/>
      <c r="BR526" s="24"/>
      <c r="BS526" s="24"/>
      <c r="BT526" s="24"/>
      <c r="BU526" s="24"/>
      <c r="BV526" s="24"/>
      <c r="BW526" s="24"/>
      <c r="BX526" s="24"/>
      <c r="BY526" s="24"/>
      <c r="BZ526" s="24"/>
      <c r="CA526" s="24"/>
      <c r="CB526" s="24"/>
      <c r="CC526" s="24"/>
      <c r="CD526" s="24"/>
    </row>
    <row r="527" spans="2:82" ht="16.5" customHeight="1" x14ac:dyDescent="0.3">
      <c r="B527" s="26"/>
      <c r="C527" s="26"/>
      <c r="D527" s="26"/>
      <c r="E527" s="26"/>
      <c r="F527" s="26"/>
      <c r="G527" s="26"/>
      <c r="H527" s="24"/>
      <c r="I527" s="27"/>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row>
    <row r="528" spans="2:82" ht="16.5" customHeight="1" x14ac:dyDescent="0.3">
      <c r="B528" s="26"/>
      <c r="C528" s="26"/>
      <c r="D528" s="26"/>
      <c r="E528" s="26"/>
      <c r="F528" s="26"/>
      <c r="G528" s="26"/>
      <c r="H528" s="24"/>
      <c r="I528" s="27"/>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row>
    <row r="529" spans="2:82" ht="16.5" customHeight="1" x14ac:dyDescent="0.3">
      <c r="B529" s="26"/>
      <c r="C529" s="26"/>
      <c r="D529" s="26"/>
      <c r="E529" s="26"/>
      <c r="F529" s="26"/>
      <c r="G529" s="26"/>
      <c r="H529" s="24"/>
      <c r="I529" s="27"/>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c r="BF529" s="24"/>
      <c r="BG529" s="24"/>
      <c r="BH529" s="24"/>
      <c r="BI529" s="24"/>
      <c r="BJ529" s="24"/>
      <c r="BK529" s="24"/>
      <c r="BL529" s="24"/>
      <c r="BM529" s="24"/>
      <c r="BN529" s="24"/>
      <c r="BO529" s="24"/>
      <c r="BP529" s="24"/>
      <c r="BQ529" s="24"/>
      <c r="BR529" s="24"/>
      <c r="BS529" s="24"/>
      <c r="BT529" s="24"/>
      <c r="BU529" s="24"/>
      <c r="BV529" s="24"/>
      <c r="BW529" s="24"/>
      <c r="BX529" s="24"/>
      <c r="BY529" s="24"/>
      <c r="BZ529" s="24"/>
      <c r="CA529" s="24"/>
      <c r="CB529" s="24"/>
      <c r="CC529" s="24"/>
      <c r="CD529" s="24"/>
    </row>
    <row r="530" spans="2:82" ht="16.5" customHeight="1" x14ac:dyDescent="0.3">
      <c r="B530" s="26"/>
      <c r="C530" s="26"/>
      <c r="D530" s="26"/>
      <c r="E530" s="26"/>
      <c r="F530" s="26"/>
      <c r="G530" s="26"/>
      <c r="H530" s="24"/>
      <c r="I530" s="27"/>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c r="BF530" s="24"/>
      <c r="BG530" s="24"/>
      <c r="BH530" s="24"/>
      <c r="BI530" s="24"/>
      <c r="BJ530" s="24"/>
      <c r="BK530" s="24"/>
      <c r="BL530" s="24"/>
      <c r="BM530" s="24"/>
      <c r="BN530" s="24"/>
      <c r="BO530" s="24"/>
      <c r="BP530" s="24"/>
      <c r="BQ530" s="24"/>
      <c r="BR530" s="24"/>
      <c r="BS530" s="24"/>
      <c r="BT530" s="24"/>
      <c r="BU530" s="24"/>
      <c r="BV530" s="24"/>
      <c r="BW530" s="24"/>
      <c r="BX530" s="24"/>
      <c r="BY530" s="24"/>
      <c r="BZ530" s="24"/>
      <c r="CA530" s="24"/>
      <c r="CB530" s="24"/>
      <c r="CC530" s="24"/>
      <c r="CD530" s="24"/>
    </row>
    <row r="531" spans="2:82" ht="16.5" customHeight="1" x14ac:dyDescent="0.3">
      <c r="B531" s="26"/>
      <c r="C531" s="26"/>
      <c r="D531" s="26"/>
      <c r="E531" s="26"/>
      <c r="F531" s="26"/>
      <c r="G531" s="26"/>
      <c r="H531" s="24"/>
      <c r="I531" s="27"/>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c r="BF531" s="24"/>
      <c r="BG531" s="24"/>
      <c r="BH531" s="24"/>
      <c r="BI531" s="24"/>
      <c r="BJ531" s="24"/>
      <c r="BK531" s="24"/>
      <c r="BL531" s="24"/>
      <c r="BM531" s="24"/>
      <c r="BN531" s="24"/>
      <c r="BO531" s="24"/>
      <c r="BP531" s="24"/>
      <c r="BQ531" s="24"/>
      <c r="BR531" s="24"/>
      <c r="BS531" s="24"/>
      <c r="BT531" s="24"/>
      <c r="BU531" s="24"/>
      <c r="BV531" s="24"/>
      <c r="BW531" s="24"/>
      <c r="BX531" s="24"/>
      <c r="BY531" s="24"/>
      <c r="BZ531" s="24"/>
      <c r="CA531" s="24"/>
      <c r="CB531" s="24"/>
      <c r="CC531" s="24"/>
      <c r="CD531" s="24"/>
    </row>
    <row r="532" spans="2:82" ht="16.5" customHeight="1" x14ac:dyDescent="0.3">
      <c r="B532" s="26"/>
      <c r="C532" s="26"/>
      <c r="D532" s="26"/>
      <c r="E532" s="26"/>
      <c r="F532" s="26"/>
      <c r="G532" s="26"/>
      <c r="H532" s="24"/>
      <c r="I532" s="27"/>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c r="BF532" s="24"/>
      <c r="BG532" s="24"/>
      <c r="BH532" s="24"/>
      <c r="BI532" s="24"/>
      <c r="BJ532" s="24"/>
      <c r="BK532" s="24"/>
      <c r="BL532" s="24"/>
      <c r="BM532" s="24"/>
      <c r="BN532" s="24"/>
      <c r="BO532" s="24"/>
      <c r="BP532" s="24"/>
      <c r="BQ532" s="24"/>
      <c r="BR532" s="24"/>
      <c r="BS532" s="24"/>
      <c r="BT532" s="24"/>
      <c r="BU532" s="24"/>
      <c r="BV532" s="24"/>
      <c r="BW532" s="24"/>
      <c r="BX532" s="24"/>
      <c r="BY532" s="24"/>
      <c r="BZ532" s="24"/>
      <c r="CA532" s="24"/>
      <c r="CB532" s="24"/>
      <c r="CC532" s="24"/>
      <c r="CD532" s="24"/>
    </row>
    <row r="533" spans="2:82" ht="16.5" customHeight="1" x14ac:dyDescent="0.3">
      <c r="B533" s="26"/>
      <c r="C533" s="26"/>
      <c r="D533" s="26"/>
      <c r="E533" s="26"/>
      <c r="F533" s="26"/>
      <c r="G533" s="26"/>
      <c r="H533" s="24"/>
      <c r="I533" s="27"/>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c r="BF533" s="24"/>
      <c r="BG533" s="24"/>
      <c r="BH533" s="24"/>
      <c r="BI533" s="24"/>
      <c r="BJ533" s="24"/>
      <c r="BK533" s="24"/>
      <c r="BL533" s="24"/>
      <c r="BM533" s="24"/>
      <c r="BN533" s="24"/>
      <c r="BO533" s="24"/>
      <c r="BP533" s="24"/>
      <c r="BQ533" s="24"/>
      <c r="BR533" s="24"/>
      <c r="BS533" s="24"/>
      <c r="BT533" s="24"/>
      <c r="BU533" s="24"/>
      <c r="BV533" s="24"/>
      <c r="BW533" s="24"/>
      <c r="BX533" s="24"/>
      <c r="BY533" s="24"/>
      <c r="BZ533" s="24"/>
      <c r="CA533" s="24"/>
      <c r="CB533" s="24"/>
      <c r="CC533" s="24"/>
      <c r="CD533" s="24"/>
    </row>
    <row r="534" spans="2:82" ht="16.5" customHeight="1" x14ac:dyDescent="0.3">
      <c r="B534" s="26"/>
      <c r="C534" s="26"/>
      <c r="D534" s="26"/>
      <c r="E534" s="26"/>
      <c r="F534" s="26"/>
      <c r="G534" s="26"/>
      <c r="H534" s="24"/>
      <c r="I534" s="27"/>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c r="BF534" s="24"/>
      <c r="BG534" s="24"/>
      <c r="BH534" s="24"/>
      <c r="BI534" s="24"/>
      <c r="BJ534" s="24"/>
      <c r="BK534" s="24"/>
      <c r="BL534" s="24"/>
      <c r="BM534" s="24"/>
      <c r="BN534" s="24"/>
      <c r="BO534" s="24"/>
      <c r="BP534" s="24"/>
      <c r="BQ534" s="24"/>
      <c r="BR534" s="24"/>
      <c r="BS534" s="24"/>
      <c r="BT534" s="24"/>
      <c r="BU534" s="24"/>
      <c r="BV534" s="24"/>
      <c r="BW534" s="24"/>
      <c r="BX534" s="24"/>
      <c r="BY534" s="24"/>
      <c r="BZ534" s="24"/>
      <c r="CA534" s="24"/>
      <c r="CB534" s="24"/>
      <c r="CC534" s="24"/>
      <c r="CD534" s="24"/>
    </row>
    <row r="535" spans="2:82" ht="16.5" customHeight="1" x14ac:dyDescent="0.3">
      <c r="B535" s="26"/>
      <c r="C535" s="26"/>
      <c r="D535" s="26"/>
      <c r="E535" s="26"/>
      <c r="F535" s="26"/>
      <c r="G535" s="26"/>
      <c r="H535" s="24"/>
      <c r="I535" s="27"/>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c r="BF535" s="24"/>
      <c r="BG535" s="24"/>
      <c r="BH535" s="24"/>
      <c r="BI535" s="24"/>
      <c r="BJ535" s="24"/>
      <c r="BK535" s="24"/>
      <c r="BL535" s="24"/>
      <c r="BM535" s="24"/>
      <c r="BN535" s="24"/>
      <c r="BO535" s="24"/>
      <c r="BP535" s="24"/>
      <c r="BQ535" s="24"/>
      <c r="BR535" s="24"/>
      <c r="BS535" s="24"/>
      <c r="BT535" s="24"/>
      <c r="BU535" s="24"/>
      <c r="BV535" s="24"/>
      <c r="BW535" s="24"/>
      <c r="BX535" s="24"/>
      <c r="BY535" s="24"/>
      <c r="BZ535" s="24"/>
      <c r="CA535" s="24"/>
      <c r="CB535" s="24"/>
      <c r="CC535" s="24"/>
      <c r="CD535" s="24"/>
    </row>
    <row r="536" spans="2:82" ht="16.5" customHeight="1" x14ac:dyDescent="0.3">
      <c r="B536" s="26"/>
      <c r="C536" s="26"/>
      <c r="D536" s="26"/>
      <c r="E536" s="26"/>
      <c r="F536" s="26"/>
      <c r="G536" s="26"/>
      <c r="H536" s="24"/>
      <c r="I536" s="27"/>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c r="BF536" s="24"/>
      <c r="BG536" s="24"/>
      <c r="BH536" s="24"/>
      <c r="BI536" s="24"/>
      <c r="BJ536" s="24"/>
      <c r="BK536" s="24"/>
      <c r="BL536" s="24"/>
      <c r="BM536" s="24"/>
      <c r="BN536" s="24"/>
      <c r="BO536" s="24"/>
      <c r="BP536" s="24"/>
      <c r="BQ536" s="24"/>
      <c r="BR536" s="24"/>
      <c r="BS536" s="24"/>
      <c r="BT536" s="24"/>
      <c r="BU536" s="24"/>
      <c r="BV536" s="24"/>
      <c r="BW536" s="24"/>
      <c r="BX536" s="24"/>
      <c r="BY536" s="24"/>
      <c r="BZ536" s="24"/>
      <c r="CA536" s="24"/>
      <c r="CB536" s="24"/>
      <c r="CC536" s="24"/>
      <c r="CD536" s="24"/>
    </row>
    <row r="537" spans="2:82" ht="16.5" customHeight="1" x14ac:dyDescent="0.3">
      <c r="B537" s="26"/>
      <c r="C537" s="26"/>
      <c r="D537" s="26"/>
      <c r="E537" s="26"/>
      <c r="F537" s="26"/>
      <c r="G537" s="26"/>
      <c r="H537" s="24"/>
      <c r="I537" s="27"/>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c r="BF537" s="24"/>
      <c r="BG537" s="24"/>
      <c r="BH537" s="24"/>
      <c r="BI537" s="24"/>
      <c r="BJ537" s="24"/>
      <c r="BK537" s="24"/>
      <c r="BL537" s="24"/>
      <c r="BM537" s="24"/>
      <c r="BN537" s="24"/>
      <c r="BO537" s="24"/>
      <c r="BP537" s="24"/>
      <c r="BQ537" s="24"/>
      <c r="BR537" s="24"/>
      <c r="BS537" s="24"/>
      <c r="BT537" s="24"/>
      <c r="BU537" s="24"/>
      <c r="BV537" s="24"/>
      <c r="BW537" s="24"/>
      <c r="BX537" s="24"/>
      <c r="BY537" s="24"/>
      <c r="BZ537" s="24"/>
      <c r="CA537" s="24"/>
      <c r="CB537" s="24"/>
      <c r="CC537" s="24"/>
      <c r="CD537" s="24"/>
    </row>
    <row r="538" spans="2:82" ht="16.5" customHeight="1" x14ac:dyDescent="0.3">
      <c r="B538" s="26"/>
      <c r="C538" s="26"/>
      <c r="D538" s="26"/>
      <c r="E538" s="26"/>
      <c r="F538" s="26"/>
      <c r="G538" s="26"/>
      <c r="H538" s="24"/>
      <c r="I538" s="27"/>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c r="BF538" s="24"/>
      <c r="BG538" s="24"/>
      <c r="BH538" s="24"/>
      <c r="BI538" s="24"/>
      <c r="BJ538" s="24"/>
      <c r="BK538" s="24"/>
      <c r="BL538" s="24"/>
      <c r="BM538" s="24"/>
      <c r="BN538" s="24"/>
      <c r="BO538" s="24"/>
      <c r="BP538" s="24"/>
      <c r="BQ538" s="24"/>
      <c r="BR538" s="24"/>
      <c r="BS538" s="24"/>
      <c r="BT538" s="24"/>
      <c r="BU538" s="24"/>
      <c r="BV538" s="24"/>
      <c r="BW538" s="24"/>
      <c r="BX538" s="24"/>
      <c r="BY538" s="24"/>
      <c r="BZ538" s="24"/>
      <c r="CA538" s="24"/>
      <c r="CB538" s="24"/>
      <c r="CC538" s="24"/>
      <c r="CD538" s="24"/>
    </row>
    <row r="539" spans="2:82" ht="16.5" customHeight="1" x14ac:dyDescent="0.3">
      <c r="B539" s="26"/>
      <c r="C539" s="26"/>
      <c r="D539" s="26"/>
      <c r="E539" s="26"/>
      <c r="F539" s="26"/>
      <c r="G539" s="26"/>
      <c r="H539" s="24"/>
      <c r="I539" s="27"/>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c r="BF539" s="24"/>
      <c r="BG539" s="24"/>
      <c r="BH539" s="24"/>
      <c r="BI539" s="24"/>
      <c r="BJ539" s="24"/>
      <c r="BK539" s="24"/>
      <c r="BL539" s="24"/>
      <c r="BM539" s="24"/>
      <c r="BN539" s="24"/>
      <c r="BO539" s="24"/>
      <c r="BP539" s="24"/>
      <c r="BQ539" s="24"/>
      <c r="BR539" s="24"/>
      <c r="BS539" s="24"/>
      <c r="BT539" s="24"/>
      <c r="BU539" s="24"/>
      <c r="BV539" s="24"/>
      <c r="BW539" s="24"/>
      <c r="BX539" s="24"/>
      <c r="BY539" s="24"/>
      <c r="BZ539" s="24"/>
      <c r="CA539" s="24"/>
      <c r="CB539" s="24"/>
      <c r="CC539" s="24"/>
      <c r="CD539" s="24"/>
    </row>
    <row r="540" spans="2:82" ht="16.5" customHeight="1" x14ac:dyDescent="0.3">
      <c r="B540" s="26"/>
      <c r="C540" s="26"/>
      <c r="D540" s="26"/>
      <c r="E540" s="26"/>
      <c r="F540" s="26"/>
      <c r="G540" s="26"/>
      <c r="H540" s="24"/>
      <c r="I540" s="27"/>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c r="BF540" s="24"/>
      <c r="BG540" s="24"/>
      <c r="BH540" s="24"/>
      <c r="BI540" s="24"/>
      <c r="BJ540" s="24"/>
      <c r="BK540" s="24"/>
      <c r="BL540" s="24"/>
      <c r="BM540" s="24"/>
      <c r="BN540" s="24"/>
      <c r="BO540" s="24"/>
      <c r="BP540" s="24"/>
      <c r="BQ540" s="24"/>
      <c r="BR540" s="24"/>
      <c r="BS540" s="24"/>
      <c r="BT540" s="24"/>
      <c r="BU540" s="24"/>
      <c r="BV540" s="24"/>
      <c r="BW540" s="24"/>
      <c r="BX540" s="24"/>
      <c r="BY540" s="24"/>
      <c r="BZ540" s="24"/>
      <c r="CA540" s="24"/>
      <c r="CB540" s="24"/>
      <c r="CC540" s="24"/>
      <c r="CD540" s="24"/>
    </row>
    <row r="541" spans="2:82" ht="16.5" customHeight="1" x14ac:dyDescent="0.3">
      <c r="B541" s="26"/>
      <c r="C541" s="26"/>
      <c r="D541" s="26"/>
      <c r="E541" s="26"/>
      <c r="F541" s="26"/>
      <c r="G541" s="26"/>
      <c r="H541" s="24"/>
      <c r="I541" s="27"/>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c r="BF541" s="24"/>
      <c r="BG541" s="24"/>
      <c r="BH541" s="24"/>
      <c r="BI541" s="24"/>
      <c r="BJ541" s="24"/>
      <c r="BK541" s="24"/>
      <c r="BL541" s="24"/>
      <c r="BM541" s="24"/>
      <c r="BN541" s="24"/>
      <c r="BO541" s="24"/>
      <c r="BP541" s="24"/>
      <c r="BQ541" s="24"/>
      <c r="BR541" s="24"/>
      <c r="BS541" s="24"/>
      <c r="BT541" s="24"/>
      <c r="BU541" s="24"/>
      <c r="BV541" s="24"/>
      <c r="BW541" s="24"/>
      <c r="BX541" s="24"/>
      <c r="BY541" s="24"/>
      <c r="BZ541" s="24"/>
      <c r="CA541" s="24"/>
      <c r="CB541" s="24"/>
      <c r="CC541" s="24"/>
      <c r="CD541" s="24"/>
    </row>
    <row r="542" spans="2:82" ht="16.5" customHeight="1" x14ac:dyDescent="0.3">
      <c r="B542" s="26"/>
      <c r="C542" s="26"/>
      <c r="D542" s="26"/>
      <c r="E542" s="26"/>
      <c r="F542" s="26"/>
      <c r="G542" s="26"/>
      <c r="H542" s="24"/>
      <c r="I542" s="27"/>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c r="BF542" s="24"/>
      <c r="BG542" s="24"/>
      <c r="BH542" s="24"/>
      <c r="BI542" s="24"/>
      <c r="BJ542" s="24"/>
      <c r="BK542" s="24"/>
      <c r="BL542" s="24"/>
      <c r="BM542" s="24"/>
      <c r="BN542" s="24"/>
      <c r="BO542" s="24"/>
      <c r="BP542" s="24"/>
      <c r="BQ542" s="24"/>
      <c r="BR542" s="24"/>
      <c r="BS542" s="24"/>
      <c r="BT542" s="24"/>
      <c r="BU542" s="24"/>
      <c r="BV542" s="24"/>
      <c r="BW542" s="24"/>
      <c r="BX542" s="24"/>
      <c r="BY542" s="24"/>
      <c r="BZ542" s="24"/>
      <c r="CA542" s="24"/>
      <c r="CB542" s="24"/>
      <c r="CC542" s="24"/>
      <c r="CD542" s="24"/>
    </row>
    <row r="543" spans="2:82" ht="16.5" customHeight="1" x14ac:dyDescent="0.3">
      <c r="B543" s="26"/>
      <c r="C543" s="26"/>
      <c r="D543" s="26"/>
      <c r="E543" s="26"/>
      <c r="F543" s="26"/>
      <c r="G543" s="26"/>
      <c r="H543" s="24"/>
      <c r="I543" s="27"/>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c r="BF543" s="24"/>
      <c r="BG543" s="24"/>
      <c r="BH543" s="24"/>
      <c r="BI543" s="24"/>
      <c r="BJ543" s="24"/>
      <c r="BK543" s="24"/>
      <c r="BL543" s="24"/>
      <c r="BM543" s="24"/>
      <c r="BN543" s="24"/>
      <c r="BO543" s="24"/>
      <c r="BP543" s="24"/>
      <c r="BQ543" s="24"/>
      <c r="BR543" s="24"/>
      <c r="BS543" s="24"/>
      <c r="BT543" s="24"/>
      <c r="BU543" s="24"/>
      <c r="BV543" s="24"/>
      <c r="BW543" s="24"/>
      <c r="BX543" s="24"/>
      <c r="BY543" s="24"/>
      <c r="BZ543" s="24"/>
      <c r="CA543" s="24"/>
      <c r="CB543" s="24"/>
      <c r="CC543" s="24"/>
      <c r="CD543" s="24"/>
    </row>
    <row r="544" spans="2:82" ht="16.5" customHeight="1" x14ac:dyDescent="0.3">
      <c r="B544" s="26"/>
      <c r="C544" s="26"/>
      <c r="D544" s="26"/>
      <c r="E544" s="26"/>
      <c r="F544" s="26"/>
      <c r="G544" s="26"/>
      <c r="H544" s="24"/>
      <c r="I544" s="27"/>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c r="BF544" s="24"/>
      <c r="BG544" s="24"/>
      <c r="BH544" s="24"/>
      <c r="BI544" s="24"/>
      <c r="BJ544" s="24"/>
      <c r="BK544" s="24"/>
      <c r="BL544" s="24"/>
      <c r="BM544" s="24"/>
      <c r="BN544" s="24"/>
      <c r="BO544" s="24"/>
      <c r="BP544" s="24"/>
      <c r="BQ544" s="24"/>
      <c r="BR544" s="24"/>
      <c r="BS544" s="24"/>
      <c r="BT544" s="24"/>
      <c r="BU544" s="24"/>
      <c r="BV544" s="24"/>
      <c r="BW544" s="24"/>
      <c r="BX544" s="24"/>
      <c r="BY544" s="24"/>
      <c r="BZ544" s="24"/>
      <c r="CA544" s="24"/>
      <c r="CB544" s="24"/>
      <c r="CC544" s="24"/>
      <c r="CD544" s="24"/>
    </row>
    <row r="545" spans="2:82" ht="16.5" customHeight="1" x14ac:dyDescent="0.3">
      <c r="B545" s="26"/>
      <c r="C545" s="26"/>
      <c r="D545" s="26"/>
      <c r="E545" s="26"/>
      <c r="F545" s="26"/>
      <c r="G545" s="26"/>
      <c r="H545" s="24"/>
      <c r="I545" s="27"/>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c r="BF545" s="24"/>
      <c r="BG545" s="24"/>
      <c r="BH545" s="24"/>
      <c r="BI545" s="24"/>
      <c r="BJ545" s="24"/>
      <c r="BK545" s="24"/>
      <c r="BL545" s="24"/>
      <c r="BM545" s="24"/>
      <c r="BN545" s="24"/>
      <c r="BO545" s="24"/>
      <c r="BP545" s="24"/>
      <c r="BQ545" s="24"/>
      <c r="BR545" s="24"/>
      <c r="BS545" s="24"/>
      <c r="BT545" s="24"/>
      <c r="BU545" s="24"/>
      <c r="BV545" s="24"/>
      <c r="BW545" s="24"/>
      <c r="BX545" s="24"/>
      <c r="BY545" s="24"/>
      <c r="BZ545" s="24"/>
      <c r="CA545" s="24"/>
      <c r="CB545" s="24"/>
      <c r="CC545" s="24"/>
      <c r="CD545" s="24"/>
    </row>
    <row r="546" spans="2:82" ht="16.5" customHeight="1" x14ac:dyDescent="0.3">
      <c r="B546" s="26"/>
      <c r="C546" s="26"/>
      <c r="D546" s="26"/>
      <c r="E546" s="26"/>
      <c r="F546" s="26"/>
      <c r="G546" s="26"/>
      <c r="H546" s="24"/>
      <c r="I546" s="27"/>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c r="BF546" s="24"/>
      <c r="BG546" s="24"/>
      <c r="BH546" s="24"/>
      <c r="BI546" s="24"/>
      <c r="BJ546" s="24"/>
      <c r="BK546" s="24"/>
      <c r="BL546" s="24"/>
      <c r="BM546" s="24"/>
      <c r="BN546" s="24"/>
      <c r="BO546" s="24"/>
      <c r="BP546" s="24"/>
      <c r="BQ546" s="24"/>
      <c r="BR546" s="24"/>
      <c r="BS546" s="24"/>
      <c r="BT546" s="24"/>
      <c r="BU546" s="24"/>
      <c r="BV546" s="24"/>
      <c r="BW546" s="24"/>
      <c r="BX546" s="24"/>
      <c r="BY546" s="24"/>
      <c r="BZ546" s="24"/>
      <c r="CA546" s="24"/>
      <c r="CB546" s="24"/>
      <c r="CC546" s="24"/>
      <c r="CD546" s="24"/>
    </row>
    <row r="547" spans="2:82" ht="16.5" customHeight="1" x14ac:dyDescent="0.3">
      <c r="B547" s="26"/>
      <c r="C547" s="26"/>
      <c r="D547" s="26"/>
      <c r="E547" s="26"/>
      <c r="F547" s="26"/>
      <c r="G547" s="26"/>
      <c r="H547" s="24"/>
      <c r="I547" s="27"/>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c r="BF547" s="24"/>
      <c r="BG547" s="24"/>
      <c r="BH547" s="24"/>
      <c r="BI547" s="24"/>
      <c r="BJ547" s="24"/>
      <c r="BK547" s="24"/>
      <c r="BL547" s="24"/>
      <c r="BM547" s="24"/>
      <c r="BN547" s="24"/>
      <c r="BO547" s="24"/>
      <c r="BP547" s="24"/>
      <c r="BQ547" s="24"/>
      <c r="BR547" s="24"/>
      <c r="BS547" s="24"/>
      <c r="BT547" s="24"/>
      <c r="BU547" s="24"/>
      <c r="BV547" s="24"/>
      <c r="BW547" s="24"/>
      <c r="BX547" s="24"/>
      <c r="BY547" s="24"/>
      <c r="BZ547" s="24"/>
      <c r="CA547" s="24"/>
      <c r="CB547" s="24"/>
      <c r="CC547" s="24"/>
      <c r="CD547" s="24"/>
    </row>
    <row r="548" spans="2:82" ht="16.5" customHeight="1" x14ac:dyDescent="0.3">
      <c r="B548" s="26"/>
      <c r="C548" s="26"/>
      <c r="D548" s="26"/>
      <c r="E548" s="26"/>
      <c r="F548" s="26"/>
      <c r="G548" s="26"/>
      <c r="H548" s="24"/>
      <c r="I548" s="27"/>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c r="BF548" s="24"/>
      <c r="BG548" s="24"/>
      <c r="BH548" s="24"/>
      <c r="BI548" s="24"/>
      <c r="BJ548" s="24"/>
      <c r="BK548" s="24"/>
      <c r="BL548" s="24"/>
      <c r="BM548" s="24"/>
      <c r="BN548" s="24"/>
      <c r="BO548" s="24"/>
      <c r="BP548" s="24"/>
      <c r="BQ548" s="24"/>
      <c r="BR548" s="24"/>
      <c r="BS548" s="24"/>
      <c r="BT548" s="24"/>
      <c r="BU548" s="24"/>
      <c r="BV548" s="24"/>
      <c r="BW548" s="24"/>
      <c r="BX548" s="24"/>
      <c r="BY548" s="24"/>
      <c r="BZ548" s="24"/>
      <c r="CA548" s="24"/>
      <c r="CB548" s="24"/>
      <c r="CC548" s="24"/>
      <c r="CD548" s="24"/>
    </row>
    <row r="549" spans="2:82" ht="16.5" customHeight="1" x14ac:dyDescent="0.3">
      <c r="B549" s="26"/>
      <c r="C549" s="26"/>
      <c r="D549" s="26"/>
      <c r="E549" s="26"/>
      <c r="F549" s="26"/>
      <c r="G549" s="26"/>
      <c r="H549" s="24"/>
      <c r="I549" s="27"/>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c r="BF549" s="24"/>
      <c r="BG549" s="24"/>
      <c r="BH549" s="24"/>
      <c r="BI549" s="24"/>
      <c r="BJ549" s="24"/>
      <c r="BK549" s="24"/>
      <c r="BL549" s="24"/>
      <c r="BM549" s="24"/>
      <c r="BN549" s="24"/>
      <c r="BO549" s="24"/>
      <c r="BP549" s="24"/>
      <c r="BQ549" s="24"/>
      <c r="BR549" s="24"/>
      <c r="BS549" s="24"/>
      <c r="BT549" s="24"/>
      <c r="BU549" s="24"/>
      <c r="BV549" s="24"/>
      <c r="BW549" s="24"/>
      <c r="BX549" s="24"/>
      <c r="BY549" s="24"/>
      <c r="BZ549" s="24"/>
      <c r="CA549" s="24"/>
      <c r="CB549" s="24"/>
      <c r="CC549" s="24"/>
      <c r="CD549" s="24"/>
    </row>
    <row r="550" spans="2:82" ht="16.5" customHeight="1" x14ac:dyDescent="0.3">
      <c r="B550" s="26"/>
      <c r="C550" s="26"/>
      <c r="D550" s="26"/>
      <c r="E550" s="26"/>
      <c r="F550" s="26"/>
      <c r="G550" s="26"/>
      <c r="H550" s="24"/>
      <c r="I550" s="27"/>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c r="BF550" s="24"/>
      <c r="BG550" s="24"/>
      <c r="BH550" s="24"/>
      <c r="BI550" s="24"/>
      <c r="BJ550" s="24"/>
      <c r="BK550" s="24"/>
      <c r="BL550" s="24"/>
      <c r="BM550" s="24"/>
      <c r="BN550" s="24"/>
      <c r="BO550" s="24"/>
      <c r="BP550" s="24"/>
      <c r="BQ550" s="24"/>
      <c r="BR550" s="24"/>
      <c r="BS550" s="24"/>
      <c r="BT550" s="24"/>
      <c r="BU550" s="24"/>
      <c r="BV550" s="24"/>
      <c r="BW550" s="24"/>
      <c r="BX550" s="24"/>
      <c r="BY550" s="24"/>
      <c r="BZ550" s="24"/>
      <c r="CA550" s="24"/>
      <c r="CB550" s="24"/>
      <c r="CC550" s="24"/>
      <c r="CD550" s="24"/>
    </row>
    <row r="551" spans="2:82" ht="16.5" customHeight="1" x14ac:dyDescent="0.3">
      <c r="B551" s="26"/>
      <c r="C551" s="26"/>
      <c r="D551" s="26"/>
      <c r="E551" s="26"/>
      <c r="F551" s="26"/>
      <c r="G551" s="26"/>
      <c r="H551" s="24"/>
      <c r="I551" s="27"/>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c r="BF551" s="24"/>
      <c r="BG551" s="24"/>
      <c r="BH551" s="24"/>
      <c r="BI551" s="24"/>
      <c r="BJ551" s="24"/>
      <c r="BK551" s="24"/>
      <c r="BL551" s="24"/>
      <c r="BM551" s="24"/>
      <c r="BN551" s="24"/>
      <c r="BO551" s="24"/>
      <c r="BP551" s="24"/>
      <c r="BQ551" s="24"/>
      <c r="BR551" s="24"/>
      <c r="BS551" s="24"/>
      <c r="BT551" s="24"/>
      <c r="BU551" s="24"/>
      <c r="BV551" s="24"/>
      <c r="BW551" s="24"/>
      <c r="BX551" s="24"/>
      <c r="BY551" s="24"/>
      <c r="BZ551" s="24"/>
      <c r="CA551" s="24"/>
      <c r="CB551" s="24"/>
      <c r="CC551" s="24"/>
      <c r="CD551" s="24"/>
    </row>
    <row r="552" spans="2:82" ht="16.5" customHeight="1" x14ac:dyDescent="0.3">
      <c r="B552" s="26"/>
      <c r="C552" s="26"/>
      <c r="D552" s="26"/>
      <c r="E552" s="26"/>
      <c r="F552" s="26"/>
      <c r="G552" s="26"/>
      <c r="H552" s="24"/>
      <c r="I552" s="27"/>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row>
    <row r="553" spans="2:82" ht="16.5" customHeight="1" x14ac:dyDescent="0.3">
      <c r="B553" s="26"/>
      <c r="C553" s="26"/>
      <c r="D553" s="26"/>
      <c r="E553" s="26"/>
      <c r="F553" s="26"/>
      <c r="G553" s="26"/>
      <c r="H553" s="24"/>
      <c r="I553" s="27"/>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row>
    <row r="554" spans="2:82" ht="16.5" customHeight="1" x14ac:dyDescent="0.3">
      <c r="B554" s="26"/>
      <c r="C554" s="26"/>
      <c r="D554" s="26"/>
      <c r="E554" s="26"/>
      <c r="F554" s="26"/>
      <c r="G554" s="26"/>
      <c r="H554" s="24"/>
      <c r="I554" s="27"/>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row>
    <row r="555" spans="2:82" ht="16.5" customHeight="1" x14ac:dyDescent="0.3">
      <c r="B555" s="26"/>
      <c r="C555" s="26"/>
      <c r="D555" s="26"/>
      <c r="E555" s="26"/>
      <c r="F555" s="26"/>
      <c r="G555" s="26"/>
      <c r="H555" s="24"/>
      <c r="I555" s="27"/>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row>
    <row r="556" spans="2:82" ht="16.5" customHeight="1" x14ac:dyDescent="0.3">
      <c r="B556" s="26"/>
      <c r="C556" s="26"/>
      <c r="D556" s="26"/>
      <c r="E556" s="26"/>
      <c r="F556" s="26"/>
      <c r="G556" s="26"/>
      <c r="H556" s="24"/>
      <c r="I556" s="27"/>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row>
    <row r="557" spans="2:82" ht="16.5" customHeight="1" x14ac:dyDescent="0.3">
      <c r="B557" s="26"/>
      <c r="C557" s="26"/>
      <c r="D557" s="26"/>
      <c r="E557" s="26"/>
      <c r="F557" s="26"/>
      <c r="G557" s="26"/>
      <c r="H557" s="24"/>
      <c r="I557" s="27"/>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row>
    <row r="558" spans="2:82" ht="16.5" customHeight="1" x14ac:dyDescent="0.3">
      <c r="B558" s="26"/>
      <c r="C558" s="26"/>
      <c r="D558" s="26"/>
      <c r="E558" s="26"/>
      <c r="F558" s="26"/>
      <c r="G558" s="26"/>
      <c r="H558" s="24"/>
      <c r="I558" s="27"/>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row>
    <row r="559" spans="2:82" ht="16.5" customHeight="1" x14ac:dyDescent="0.3">
      <c r="B559" s="26"/>
      <c r="C559" s="26"/>
      <c r="D559" s="26"/>
      <c r="E559" s="26"/>
      <c r="F559" s="26"/>
      <c r="G559" s="26"/>
      <c r="H559" s="24"/>
      <c r="I559" s="27"/>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row>
    <row r="560" spans="2:82" ht="16.5" customHeight="1" x14ac:dyDescent="0.3">
      <c r="B560" s="26"/>
      <c r="C560" s="26"/>
      <c r="D560" s="26"/>
      <c r="E560" s="26"/>
      <c r="F560" s="26"/>
      <c r="G560" s="26"/>
      <c r="H560" s="24"/>
      <c r="I560" s="27"/>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row>
    <row r="561" spans="2:82" ht="16.5" customHeight="1" x14ac:dyDescent="0.3">
      <c r="B561" s="26"/>
      <c r="C561" s="26"/>
      <c r="D561" s="26"/>
      <c r="E561" s="26"/>
      <c r="F561" s="26"/>
      <c r="G561" s="26"/>
      <c r="H561" s="24"/>
      <c r="I561" s="27"/>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row>
    <row r="562" spans="2:82" ht="16.5" customHeight="1" x14ac:dyDescent="0.3">
      <c r="B562" s="26"/>
      <c r="C562" s="26"/>
      <c r="D562" s="26"/>
      <c r="E562" s="26"/>
      <c r="F562" s="26"/>
      <c r="G562" s="26"/>
      <c r="H562" s="24"/>
      <c r="I562" s="27"/>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row>
    <row r="563" spans="2:82" ht="16.5" customHeight="1" x14ac:dyDescent="0.3">
      <c r="B563" s="26"/>
      <c r="C563" s="26"/>
      <c r="D563" s="26"/>
      <c r="E563" s="26"/>
      <c r="F563" s="26"/>
      <c r="G563" s="26"/>
      <c r="H563" s="24"/>
      <c r="I563" s="27"/>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row>
    <row r="564" spans="2:82" ht="16.5" customHeight="1" x14ac:dyDescent="0.3">
      <c r="B564" s="26"/>
      <c r="C564" s="26"/>
      <c r="D564" s="26"/>
      <c r="E564" s="26"/>
      <c r="F564" s="26"/>
      <c r="G564" s="26"/>
      <c r="H564" s="24"/>
      <c r="I564" s="27"/>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row>
    <row r="565" spans="2:82" ht="16.5" customHeight="1" x14ac:dyDescent="0.3">
      <c r="B565" s="26"/>
      <c r="C565" s="26"/>
      <c r="D565" s="26"/>
      <c r="E565" s="26"/>
      <c r="F565" s="26"/>
      <c r="G565" s="26"/>
      <c r="H565" s="24"/>
      <c r="I565" s="27"/>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row>
    <row r="566" spans="2:82" ht="16.5" customHeight="1" x14ac:dyDescent="0.3">
      <c r="B566" s="26"/>
      <c r="C566" s="26"/>
      <c r="D566" s="26"/>
      <c r="E566" s="26"/>
      <c r="F566" s="26"/>
      <c r="G566" s="26"/>
      <c r="H566" s="24"/>
      <c r="I566" s="27"/>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row>
    <row r="567" spans="2:82" ht="16.5" customHeight="1" x14ac:dyDescent="0.3">
      <c r="B567" s="26"/>
      <c r="C567" s="26"/>
      <c r="D567" s="26"/>
      <c r="E567" s="26"/>
      <c r="F567" s="26"/>
      <c r="G567" s="26"/>
      <c r="H567" s="24"/>
      <c r="I567" s="27"/>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row>
    <row r="568" spans="2:82" ht="16.5" customHeight="1" x14ac:dyDescent="0.3">
      <c r="B568" s="26"/>
      <c r="C568" s="26"/>
      <c r="D568" s="26"/>
      <c r="E568" s="26"/>
      <c r="F568" s="26"/>
      <c r="G568" s="26"/>
      <c r="H568" s="24"/>
      <c r="I568" s="27"/>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row>
    <row r="569" spans="2:82" ht="16.5" customHeight="1" x14ac:dyDescent="0.3">
      <c r="B569" s="26"/>
      <c r="C569" s="26"/>
      <c r="D569" s="26"/>
      <c r="E569" s="26"/>
      <c r="F569" s="26"/>
      <c r="G569" s="26"/>
      <c r="H569" s="24"/>
      <c r="I569" s="27"/>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row>
    <row r="570" spans="2:82" ht="16.5" customHeight="1" x14ac:dyDescent="0.3">
      <c r="B570" s="26"/>
      <c r="C570" s="26"/>
      <c r="D570" s="26"/>
      <c r="E570" s="26"/>
      <c r="F570" s="26"/>
      <c r="G570" s="26"/>
      <c r="H570" s="24"/>
      <c r="I570" s="27"/>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row>
    <row r="571" spans="2:82" ht="16.5" customHeight="1" x14ac:dyDescent="0.3">
      <c r="B571" s="26"/>
      <c r="C571" s="26"/>
      <c r="D571" s="26"/>
      <c r="E571" s="26"/>
      <c r="F571" s="26"/>
      <c r="G571" s="26"/>
      <c r="H571" s="24"/>
      <c r="I571" s="27"/>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c r="BF571" s="24"/>
      <c r="BG571" s="24"/>
      <c r="BH571" s="24"/>
      <c r="BI571" s="24"/>
      <c r="BJ571" s="24"/>
      <c r="BK571" s="24"/>
      <c r="BL571" s="24"/>
      <c r="BM571" s="24"/>
      <c r="BN571" s="24"/>
      <c r="BO571" s="24"/>
      <c r="BP571" s="24"/>
      <c r="BQ571" s="24"/>
      <c r="BR571" s="24"/>
      <c r="BS571" s="24"/>
      <c r="BT571" s="24"/>
      <c r="BU571" s="24"/>
      <c r="BV571" s="24"/>
      <c r="BW571" s="24"/>
      <c r="BX571" s="24"/>
      <c r="BY571" s="24"/>
      <c r="BZ571" s="24"/>
      <c r="CA571" s="24"/>
      <c r="CB571" s="24"/>
      <c r="CC571" s="24"/>
      <c r="CD571" s="24"/>
    </row>
    <row r="572" spans="2:82" ht="16.5" customHeight="1" x14ac:dyDescent="0.3">
      <c r="B572" s="26"/>
      <c r="C572" s="26"/>
      <c r="D572" s="26"/>
      <c r="E572" s="26"/>
      <c r="F572" s="26"/>
      <c r="G572" s="26"/>
      <c r="H572" s="24"/>
      <c r="I572" s="27"/>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row>
    <row r="573" spans="2:82" ht="16.5" customHeight="1" x14ac:dyDescent="0.3">
      <c r="B573" s="26"/>
      <c r="C573" s="26"/>
      <c r="D573" s="26"/>
      <c r="E573" s="26"/>
      <c r="F573" s="26"/>
      <c r="G573" s="26"/>
      <c r="H573" s="24"/>
      <c r="I573" s="27"/>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row>
    <row r="574" spans="2:82" ht="16.5" customHeight="1" x14ac:dyDescent="0.3">
      <c r="B574" s="26"/>
      <c r="C574" s="26"/>
      <c r="D574" s="26"/>
      <c r="E574" s="26"/>
      <c r="F574" s="26"/>
      <c r="G574" s="26"/>
      <c r="H574" s="24"/>
      <c r="I574" s="27"/>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row>
    <row r="575" spans="2:82" ht="16.5" customHeight="1" x14ac:dyDescent="0.3">
      <c r="B575" s="26"/>
      <c r="C575" s="26"/>
      <c r="D575" s="26"/>
      <c r="E575" s="26"/>
      <c r="F575" s="26"/>
      <c r="G575" s="26"/>
      <c r="H575" s="24"/>
      <c r="I575" s="27"/>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row>
    <row r="576" spans="2:82" ht="16.5" customHeight="1" x14ac:dyDescent="0.3">
      <c r="B576" s="26"/>
      <c r="C576" s="26"/>
      <c r="D576" s="26"/>
      <c r="E576" s="26"/>
      <c r="F576" s="26"/>
      <c r="G576" s="26"/>
      <c r="H576" s="24"/>
      <c r="I576" s="27"/>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row>
    <row r="577" spans="2:82" ht="16.5" customHeight="1" x14ac:dyDescent="0.3">
      <c r="B577" s="26"/>
      <c r="C577" s="26"/>
      <c r="D577" s="26"/>
      <c r="E577" s="26"/>
      <c r="F577" s="26"/>
      <c r="G577" s="26"/>
      <c r="H577" s="24"/>
      <c r="I577" s="27"/>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row>
    <row r="578" spans="2:82" ht="16.5" customHeight="1" x14ac:dyDescent="0.3">
      <c r="B578" s="26"/>
      <c r="C578" s="26"/>
      <c r="D578" s="26"/>
      <c r="E578" s="26"/>
      <c r="F578" s="26"/>
      <c r="G578" s="26"/>
      <c r="H578" s="24"/>
      <c r="I578" s="27"/>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row>
    <row r="579" spans="2:82" ht="16.5" customHeight="1" x14ac:dyDescent="0.3">
      <c r="B579" s="26"/>
      <c r="C579" s="26"/>
      <c r="D579" s="26"/>
      <c r="E579" s="26"/>
      <c r="F579" s="26"/>
      <c r="G579" s="26"/>
      <c r="H579" s="24"/>
      <c r="I579" s="27"/>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row>
    <row r="580" spans="2:82" ht="16.5" customHeight="1" x14ac:dyDescent="0.3">
      <c r="B580" s="26"/>
      <c r="C580" s="26"/>
      <c r="D580" s="26"/>
      <c r="E580" s="26"/>
      <c r="F580" s="26"/>
      <c r="G580" s="26"/>
      <c r="H580" s="24"/>
      <c r="I580" s="27"/>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row>
    <row r="581" spans="2:82" ht="16.5" customHeight="1" x14ac:dyDescent="0.3">
      <c r="B581" s="26"/>
      <c r="C581" s="26"/>
      <c r="D581" s="26"/>
      <c r="E581" s="26"/>
      <c r="F581" s="26"/>
      <c r="G581" s="26"/>
      <c r="H581" s="24"/>
      <c r="I581" s="27"/>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row>
    <row r="582" spans="2:82" ht="16.5" customHeight="1" x14ac:dyDescent="0.3">
      <c r="B582" s="26"/>
      <c r="C582" s="26"/>
      <c r="D582" s="26"/>
      <c r="E582" s="26"/>
      <c r="F582" s="26"/>
      <c r="G582" s="26"/>
      <c r="H582" s="24"/>
      <c r="I582" s="27"/>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row>
    <row r="583" spans="2:82" ht="16.5" customHeight="1" x14ac:dyDescent="0.3">
      <c r="B583" s="26"/>
      <c r="C583" s="26"/>
      <c r="D583" s="26"/>
      <c r="E583" s="26"/>
      <c r="F583" s="26"/>
      <c r="G583" s="26"/>
      <c r="H583" s="24"/>
      <c r="I583" s="27"/>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row>
    <row r="584" spans="2:82" ht="16.5" customHeight="1" x14ac:dyDescent="0.3">
      <c r="B584" s="26"/>
      <c r="C584" s="26"/>
      <c r="D584" s="26"/>
      <c r="E584" s="26"/>
      <c r="F584" s="26"/>
      <c r="G584" s="26"/>
      <c r="H584" s="24"/>
      <c r="I584" s="27"/>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row>
    <row r="585" spans="2:82" ht="16.5" customHeight="1" x14ac:dyDescent="0.3">
      <c r="B585" s="26"/>
      <c r="C585" s="26"/>
      <c r="D585" s="26"/>
      <c r="E585" s="26"/>
      <c r="F585" s="26"/>
      <c r="G585" s="26"/>
      <c r="H585" s="24"/>
      <c r="I585" s="27"/>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row>
    <row r="586" spans="2:82" ht="16.5" customHeight="1" x14ac:dyDescent="0.3">
      <c r="B586" s="26"/>
      <c r="C586" s="26"/>
      <c r="D586" s="26"/>
      <c r="E586" s="26"/>
      <c r="F586" s="26"/>
      <c r="G586" s="26"/>
      <c r="H586" s="24"/>
      <c r="I586" s="27"/>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row>
    <row r="587" spans="2:82" ht="16.5" customHeight="1" x14ac:dyDescent="0.3">
      <c r="B587" s="26"/>
      <c r="C587" s="26"/>
      <c r="D587" s="26"/>
      <c r="E587" s="26"/>
      <c r="F587" s="26"/>
      <c r="G587" s="26"/>
      <c r="H587" s="24"/>
      <c r="I587" s="27"/>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row>
    <row r="588" spans="2:82" ht="16.5" customHeight="1" x14ac:dyDescent="0.3">
      <c r="B588" s="26"/>
      <c r="C588" s="26"/>
      <c r="D588" s="26"/>
      <c r="E588" s="26"/>
      <c r="F588" s="26"/>
      <c r="G588" s="26"/>
      <c r="H588" s="24"/>
      <c r="I588" s="27"/>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row>
    <row r="589" spans="2:82" ht="16.5" customHeight="1" x14ac:dyDescent="0.3">
      <c r="B589" s="26"/>
      <c r="C589" s="26"/>
      <c r="D589" s="26"/>
      <c r="E589" s="26"/>
      <c r="F589" s="26"/>
      <c r="G589" s="26"/>
      <c r="H589" s="24"/>
      <c r="I589" s="27"/>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row>
    <row r="590" spans="2:82" ht="16.5" customHeight="1" x14ac:dyDescent="0.3">
      <c r="B590" s="26"/>
      <c r="C590" s="26"/>
      <c r="D590" s="26"/>
      <c r="E590" s="26"/>
      <c r="F590" s="26"/>
      <c r="G590" s="26"/>
      <c r="H590" s="24"/>
      <c r="I590" s="27"/>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row>
    <row r="591" spans="2:82" ht="16.5" customHeight="1" x14ac:dyDescent="0.3">
      <c r="B591" s="26"/>
      <c r="C591" s="26"/>
      <c r="D591" s="26"/>
      <c r="E591" s="26"/>
      <c r="F591" s="26"/>
      <c r="G591" s="26"/>
      <c r="H591" s="24"/>
      <c r="I591" s="27"/>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row>
    <row r="592" spans="2:82" ht="16.5" customHeight="1" x14ac:dyDescent="0.3">
      <c r="B592" s="26"/>
      <c r="C592" s="26"/>
      <c r="D592" s="26"/>
      <c r="E592" s="26"/>
      <c r="F592" s="26"/>
      <c r="G592" s="26"/>
      <c r="H592" s="24"/>
      <c r="I592" s="27"/>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row>
    <row r="593" spans="2:82" ht="16.5" customHeight="1" x14ac:dyDescent="0.3">
      <c r="B593" s="26"/>
      <c r="C593" s="26"/>
      <c r="D593" s="26"/>
      <c r="E593" s="26"/>
      <c r="F593" s="26"/>
      <c r="G593" s="26"/>
      <c r="H593" s="24"/>
      <c r="I593" s="27"/>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row>
    <row r="594" spans="2:82" ht="16.5" customHeight="1" x14ac:dyDescent="0.3">
      <c r="B594" s="26"/>
      <c r="C594" s="26"/>
      <c r="D594" s="26"/>
      <c r="E594" s="26"/>
      <c r="F594" s="26"/>
      <c r="G594" s="26"/>
      <c r="H594" s="24"/>
      <c r="I594" s="27"/>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row>
    <row r="595" spans="2:82" ht="16.5" customHeight="1" x14ac:dyDescent="0.3">
      <c r="B595" s="26"/>
      <c r="C595" s="26"/>
      <c r="D595" s="26"/>
      <c r="E595" s="26"/>
      <c r="F595" s="26"/>
      <c r="G595" s="26"/>
      <c r="H595" s="24"/>
      <c r="I595" s="27"/>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row>
    <row r="596" spans="2:82" ht="16.5" customHeight="1" x14ac:dyDescent="0.3">
      <c r="B596" s="26"/>
      <c r="C596" s="26"/>
      <c r="D596" s="26"/>
      <c r="E596" s="26"/>
      <c r="F596" s="26"/>
      <c r="G596" s="26"/>
      <c r="H596" s="24"/>
      <c r="I596" s="27"/>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row>
    <row r="597" spans="2:82" ht="16.5" customHeight="1" x14ac:dyDescent="0.3">
      <c r="B597" s="26"/>
      <c r="C597" s="26"/>
      <c r="D597" s="26"/>
      <c r="E597" s="26"/>
      <c r="F597" s="26"/>
      <c r="G597" s="26"/>
      <c r="H597" s="24"/>
      <c r="I597" s="27"/>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row>
    <row r="598" spans="2:82" ht="16.5" customHeight="1" x14ac:dyDescent="0.3">
      <c r="B598" s="26"/>
      <c r="C598" s="26"/>
      <c r="D598" s="26"/>
      <c r="E598" s="26"/>
      <c r="F598" s="26"/>
      <c r="G598" s="26"/>
      <c r="H598" s="24"/>
      <c r="I598" s="27"/>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row>
    <row r="599" spans="2:82" ht="16.5" customHeight="1" x14ac:dyDescent="0.3">
      <c r="B599" s="26"/>
      <c r="C599" s="26"/>
      <c r="D599" s="26"/>
      <c r="E599" s="26"/>
      <c r="F599" s="26"/>
      <c r="G599" s="26"/>
      <c r="H599" s="24"/>
      <c r="I599" s="27"/>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row>
    <row r="600" spans="2:82" ht="16.5" customHeight="1" x14ac:dyDescent="0.3">
      <c r="B600" s="26"/>
      <c r="C600" s="26"/>
      <c r="D600" s="26"/>
      <c r="E600" s="26"/>
      <c r="F600" s="26"/>
      <c r="G600" s="26"/>
      <c r="H600" s="24"/>
      <c r="I600" s="27"/>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c r="BF600" s="24"/>
      <c r="BG600" s="24"/>
      <c r="BH600" s="24"/>
      <c r="BI600" s="24"/>
      <c r="BJ600" s="24"/>
      <c r="BK600" s="24"/>
      <c r="BL600" s="24"/>
      <c r="BM600" s="24"/>
      <c r="BN600" s="24"/>
      <c r="BO600" s="24"/>
      <c r="BP600" s="24"/>
      <c r="BQ600" s="24"/>
      <c r="BR600" s="24"/>
      <c r="BS600" s="24"/>
      <c r="BT600" s="24"/>
      <c r="BU600" s="24"/>
      <c r="BV600" s="24"/>
      <c r="BW600" s="24"/>
      <c r="BX600" s="24"/>
      <c r="BY600" s="24"/>
      <c r="BZ600" s="24"/>
      <c r="CA600" s="24"/>
      <c r="CB600" s="24"/>
      <c r="CC600" s="24"/>
      <c r="CD600" s="24"/>
    </row>
    <row r="601" spans="2:82" ht="16.5" customHeight="1" x14ac:dyDescent="0.3">
      <c r="B601" s="26"/>
      <c r="C601" s="26"/>
      <c r="D601" s="26"/>
      <c r="E601" s="26"/>
      <c r="F601" s="26"/>
      <c r="G601" s="26"/>
      <c r="H601" s="24"/>
      <c r="I601" s="27"/>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row>
    <row r="602" spans="2:82" ht="16.5" customHeight="1" x14ac:dyDescent="0.3">
      <c r="B602" s="26"/>
      <c r="C602" s="26"/>
      <c r="D602" s="26"/>
      <c r="E602" s="26"/>
      <c r="F602" s="26"/>
      <c r="G602" s="26"/>
      <c r="H602" s="24"/>
      <c r="I602" s="27"/>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row>
    <row r="603" spans="2:82" ht="16.5" customHeight="1" x14ac:dyDescent="0.3">
      <c r="B603" s="26"/>
      <c r="C603" s="26"/>
      <c r="D603" s="26"/>
      <c r="E603" s="26"/>
      <c r="F603" s="26"/>
      <c r="G603" s="26"/>
      <c r="H603" s="24"/>
      <c r="I603" s="27"/>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c r="BF603" s="24"/>
      <c r="BG603" s="24"/>
      <c r="BH603" s="24"/>
      <c r="BI603" s="24"/>
      <c r="BJ603" s="24"/>
      <c r="BK603" s="24"/>
      <c r="BL603" s="24"/>
      <c r="BM603" s="24"/>
      <c r="BN603" s="24"/>
      <c r="BO603" s="24"/>
      <c r="BP603" s="24"/>
      <c r="BQ603" s="24"/>
      <c r="BR603" s="24"/>
      <c r="BS603" s="24"/>
      <c r="BT603" s="24"/>
      <c r="BU603" s="24"/>
      <c r="BV603" s="24"/>
      <c r="BW603" s="24"/>
      <c r="BX603" s="24"/>
      <c r="BY603" s="24"/>
      <c r="BZ603" s="24"/>
      <c r="CA603" s="24"/>
      <c r="CB603" s="24"/>
      <c r="CC603" s="24"/>
      <c r="CD603" s="24"/>
    </row>
    <row r="604" spans="2:82" ht="16.5" customHeight="1" x14ac:dyDescent="0.3">
      <c r="B604" s="26"/>
      <c r="C604" s="26"/>
      <c r="D604" s="26"/>
      <c r="E604" s="26"/>
      <c r="F604" s="26"/>
      <c r="G604" s="26"/>
      <c r="H604" s="24"/>
      <c r="I604" s="27"/>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row>
    <row r="605" spans="2:82" ht="16.5" customHeight="1" x14ac:dyDescent="0.3">
      <c r="B605" s="26"/>
      <c r="C605" s="26"/>
      <c r="D605" s="26"/>
      <c r="E605" s="26"/>
      <c r="F605" s="26"/>
      <c r="G605" s="26"/>
      <c r="H605" s="24"/>
      <c r="I605" s="27"/>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row>
    <row r="606" spans="2:82" ht="16.5" customHeight="1" x14ac:dyDescent="0.3">
      <c r="B606" s="26"/>
      <c r="C606" s="26"/>
      <c r="D606" s="26"/>
      <c r="E606" s="26"/>
      <c r="F606" s="26"/>
      <c r="G606" s="26"/>
      <c r="H606" s="24"/>
      <c r="I606" s="27"/>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row>
    <row r="607" spans="2:82" ht="16.5" customHeight="1" x14ac:dyDescent="0.3">
      <c r="B607" s="26"/>
      <c r="C607" s="26"/>
      <c r="D607" s="26"/>
      <c r="E607" s="26"/>
      <c r="F607" s="26"/>
      <c r="G607" s="26"/>
      <c r="H607" s="24"/>
      <c r="I607" s="27"/>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c r="BF607" s="24"/>
      <c r="BG607" s="24"/>
      <c r="BH607" s="24"/>
      <c r="BI607" s="24"/>
      <c r="BJ607" s="24"/>
      <c r="BK607" s="24"/>
      <c r="BL607" s="24"/>
      <c r="BM607" s="24"/>
      <c r="BN607" s="24"/>
      <c r="BO607" s="24"/>
      <c r="BP607" s="24"/>
      <c r="BQ607" s="24"/>
      <c r="BR607" s="24"/>
      <c r="BS607" s="24"/>
      <c r="BT607" s="24"/>
      <c r="BU607" s="24"/>
      <c r="BV607" s="24"/>
      <c r="BW607" s="24"/>
      <c r="BX607" s="24"/>
      <c r="BY607" s="24"/>
      <c r="BZ607" s="24"/>
      <c r="CA607" s="24"/>
      <c r="CB607" s="24"/>
      <c r="CC607" s="24"/>
      <c r="CD607" s="24"/>
    </row>
    <row r="608" spans="2:82" ht="16.5" customHeight="1" x14ac:dyDescent="0.3">
      <c r="B608" s="26"/>
      <c r="C608" s="26"/>
      <c r="D608" s="26"/>
      <c r="E608" s="26"/>
      <c r="F608" s="26"/>
      <c r="G608" s="26"/>
      <c r="H608" s="24"/>
      <c r="I608" s="27"/>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row>
    <row r="609" spans="2:82" ht="16.5" customHeight="1" x14ac:dyDescent="0.3">
      <c r="B609" s="26"/>
      <c r="C609" s="26"/>
      <c r="D609" s="26"/>
      <c r="E609" s="26"/>
      <c r="F609" s="26"/>
      <c r="G609" s="26"/>
      <c r="H609" s="24"/>
      <c r="I609" s="27"/>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row>
    <row r="610" spans="2:82" ht="16.5" customHeight="1" x14ac:dyDescent="0.3">
      <c r="B610" s="26"/>
      <c r="C610" s="26"/>
      <c r="D610" s="26"/>
      <c r="E610" s="26"/>
      <c r="F610" s="26"/>
      <c r="G610" s="26"/>
      <c r="H610" s="24"/>
      <c r="I610" s="27"/>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c r="BF610" s="24"/>
      <c r="BG610" s="24"/>
      <c r="BH610" s="24"/>
      <c r="BI610" s="24"/>
      <c r="BJ610" s="24"/>
      <c r="BK610" s="24"/>
      <c r="BL610" s="24"/>
      <c r="BM610" s="24"/>
      <c r="BN610" s="24"/>
      <c r="BO610" s="24"/>
      <c r="BP610" s="24"/>
      <c r="BQ610" s="24"/>
      <c r="BR610" s="24"/>
      <c r="BS610" s="24"/>
      <c r="BT610" s="24"/>
      <c r="BU610" s="24"/>
      <c r="BV610" s="24"/>
      <c r="BW610" s="24"/>
      <c r="BX610" s="24"/>
      <c r="BY610" s="24"/>
      <c r="BZ610" s="24"/>
      <c r="CA610" s="24"/>
      <c r="CB610" s="24"/>
      <c r="CC610" s="24"/>
      <c r="CD610" s="24"/>
    </row>
    <row r="611" spans="2:82" ht="16.5" customHeight="1" x14ac:dyDescent="0.3">
      <c r="B611" s="26"/>
      <c r="C611" s="26"/>
      <c r="D611" s="26"/>
      <c r="E611" s="26"/>
      <c r="F611" s="26"/>
      <c r="G611" s="26"/>
      <c r="H611" s="24"/>
      <c r="I611" s="27"/>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24"/>
      <c r="CC611" s="24"/>
      <c r="CD611" s="24"/>
    </row>
    <row r="612" spans="2:82" ht="16.5" customHeight="1" x14ac:dyDescent="0.3">
      <c r="B612" s="26"/>
      <c r="C612" s="26"/>
      <c r="D612" s="26"/>
      <c r="E612" s="26"/>
      <c r="F612" s="26"/>
      <c r="G612" s="26"/>
      <c r="H612" s="24"/>
      <c r="I612" s="27"/>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c r="BA612" s="24"/>
      <c r="BB612" s="24"/>
      <c r="BC612" s="24"/>
      <c r="BD612" s="24"/>
      <c r="BE612" s="24"/>
      <c r="BF612" s="24"/>
      <c r="BG612" s="24"/>
      <c r="BH612" s="24"/>
      <c r="BI612" s="24"/>
      <c r="BJ612" s="24"/>
      <c r="BK612" s="24"/>
      <c r="BL612" s="24"/>
      <c r="BM612" s="24"/>
      <c r="BN612" s="24"/>
      <c r="BO612" s="24"/>
      <c r="BP612" s="24"/>
      <c r="BQ612" s="24"/>
      <c r="BR612" s="24"/>
      <c r="BS612" s="24"/>
      <c r="BT612" s="24"/>
      <c r="BU612" s="24"/>
      <c r="BV612" s="24"/>
      <c r="BW612" s="24"/>
      <c r="BX612" s="24"/>
      <c r="BY612" s="24"/>
      <c r="BZ612" s="24"/>
      <c r="CA612" s="24"/>
      <c r="CB612" s="24"/>
      <c r="CC612" s="24"/>
      <c r="CD612" s="24"/>
    </row>
    <row r="613" spans="2:82" ht="16.5" customHeight="1" x14ac:dyDescent="0.3">
      <c r="B613" s="26"/>
      <c r="C613" s="26"/>
      <c r="D613" s="26"/>
      <c r="E613" s="26"/>
      <c r="F613" s="26"/>
      <c r="G613" s="26"/>
      <c r="H613" s="24"/>
      <c r="I613" s="27"/>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c r="BA613" s="24"/>
      <c r="BB613" s="24"/>
      <c r="BC613" s="24"/>
      <c r="BD613" s="24"/>
      <c r="BE613" s="24"/>
      <c r="BF613" s="24"/>
      <c r="BG613" s="24"/>
      <c r="BH613" s="24"/>
      <c r="BI613" s="24"/>
      <c r="BJ613" s="24"/>
      <c r="BK613" s="24"/>
      <c r="BL613" s="24"/>
      <c r="BM613" s="24"/>
      <c r="BN613" s="24"/>
      <c r="BO613" s="24"/>
      <c r="BP613" s="24"/>
      <c r="BQ613" s="24"/>
      <c r="BR613" s="24"/>
      <c r="BS613" s="24"/>
      <c r="BT613" s="24"/>
      <c r="BU613" s="24"/>
      <c r="BV613" s="24"/>
      <c r="BW613" s="24"/>
      <c r="BX613" s="24"/>
      <c r="BY613" s="24"/>
      <c r="BZ613" s="24"/>
      <c r="CA613" s="24"/>
      <c r="CB613" s="24"/>
      <c r="CC613" s="24"/>
      <c r="CD613" s="24"/>
    </row>
    <row r="614" spans="2:82" ht="16.5" customHeight="1" x14ac:dyDescent="0.3">
      <c r="B614" s="26"/>
      <c r="C614" s="26"/>
      <c r="D614" s="26"/>
      <c r="E614" s="26"/>
      <c r="F614" s="26"/>
      <c r="G614" s="26"/>
      <c r="H614" s="24"/>
      <c r="I614" s="27"/>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c r="BA614" s="24"/>
      <c r="BB614" s="24"/>
      <c r="BC614" s="24"/>
      <c r="BD614" s="24"/>
      <c r="BE614" s="24"/>
      <c r="BF614" s="24"/>
      <c r="BG614" s="24"/>
      <c r="BH614" s="24"/>
      <c r="BI614" s="24"/>
      <c r="BJ614" s="24"/>
      <c r="BK614" s="24"/>
      <c r="BL614" s="24"/>
      <c r="BM614" s="24"/>
      <c r="BN614" s="24"/>
      <c r="BO614" s="24"/>
      <c r="BP614" s="24"/>
      <c r="BQ614" s="24"/>
      <c r="BR614" s="24"/>
      <c r="BS614" s="24"/>
      <c r="BT614" s="24"/>
      <c r="BU614" s="24"/>
      <c r="BV614" s="24"/>
      <c r="BW614" s="24"/>
      <c r="BX614" s="24"/>
      <c r="BY614" s="24"/>
      <c r="BZ614" s="24"/>
      <c r="CA614" s="24"/>
      <c r="CB614" s="24"/>
      <c r="CC614" s="24"/>
      <c r="CD614" s="24"/>
    </row>
    <row r="615" spans="2:82" ht="16.5" customHeight="1" x14ac:dyDescent="0.3">
      <c r="B615" s="26"/>
      <c r="C615" s="26"/>
      <c r="D615" s="26"/>
      <c r="E615" s="26"/>
      <c r="F615" s="26"/>
      <c r="G615" s="26"/>
      <c r="H615" s="24"/>
      <c r="I615" s="27"/>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c r="BA615" s="24"/>
      <c r="BB615" s="24"/>
      <c r="BC615" s="24"/>
      <c r="BD615" s="24"/>
      <c r="BE615" s="24"/>
      <c r="BF615" s="24"/>
      <c r="BG615" s="24"/>
      <c r="BH615" s="24"/>
      <c r="BI615" s="24"/>
      <c r="BJ615" s="24"/>
      <c r="BK615" s="24"/>
      <c r="BL615" s="24"/>
      <c r="BM615" s="24"/>
      <c r="BN615" s="24"/>
      <c r="BO615" s="24"/>
      <c r="BP615" s="24"/>
      <c r="BQ615" s="24"/>
      <c r="BR615" s="24"/>
      <c r="BS615" s="24"/>
      <c r="BT615" s="24"/>
      <c r="BU615" s="24"/>
      <c r="BV615" s="24"/>
      <c r="BW615" s="24"/>
      <c r="BX615" s="24"/>
      <c r="BY615" s="24"/>
      <c r="BZ615" s="24"/>
      <c r="CA615" s="24"/>
      <c r="CB615" s="24"/>
      <c r="CC615" s="24"/>
      <c r="CD615" s="24"/>
    </row>
    <row r="616" spans="2:82" ht="16.5" customHeight="1" x14ac:dyDescent="0.3">
      <c r="B616" s="26"/>
      <c r="C616" s="26"/>
      <c r="D616" s="26"/>
      <c r="E616" s="26"/>
      <c r="F616" s="26"/>
      <c r="G616" s="26"/>
      <c r="H616" s="24"/>
      <c r="I616" s="27"/>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c r="BA616" s="24"/>
      <c r="BB616" s="24"/>
      <c r="BC616" s="24"/>
      <c r="BD616" s="24"/>
      <c r="BE616" s="24"/>
      <c r="BF616" s="24"/>
      <c r="BG616" s="24"/>
      <c r="BH616" s="24"/>
      <c r="BI616" s="24"/>
      <c r="BJ616" s="24"/>
      <c r="BK616" s="24"/>
      <c r="BL616" s="24"/>
      <c r="BM616" s="24"/>
      <c r="BN616" s="24"/>
      <c r="BO616" s="24"/>
      <c r="BP616" s="24"/>
      <c r="BQ616" s="24"/>
      <c r="BR616" s="24"/>
      <c r="BS616" s="24"/>
      <c r="BT616" s="24"/>
      <c r="BU616" s="24"/>
      <c r="BV616" s="24"/>
      <c r="BW616" s="24"/>
      <c r="BX616" s="24"/>
      <c r="BY616" s="24"/>
      <c r="BZ616" s="24"/>
      <c r="CA616" s="24"/>
      <c r="CB616" s="24"/>
      <c r="CC616" s="24"/>
      <c r="CD616" s="24"/>
    </row>
    <row r="617" spans="2:82" ht="16.5" customHeight="1" x14ac:dyDescent="0.3">
      <c r="B617" s="26"/>
      <c r="C617" s="26"/>
      <c r="D617" s="26"/>
      <c r="E617" s="26"/>
      <c r="F617" s="26"/>
      <c r="G617" s="26"/>
      <c r="H617" s="24"/>
      <c r="I617" s="27"/>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c r="BA617" s="24"/>
      <c r="BB617" s="24"/>
      <c r="BC617" s="24"/>
      <c r="BD617" s="24"/>
      <c r="BE617" s="24"/>
      <c r="BF617" s="24"/>
      <c r="BG617" s="24"/>
      <c r="BH617" s="24"/>
      <c r="BI617" s="24"/>
      <c r="BJ617" s="24"/>
      <c r="BK617" s="24"/>
      <c r="BL617" s="24"/>
      <c r="BM617" s="24"/>
      <c r="BN617" s="24"/>
      <c r="BO617" s="24"/>
      <c r="BP617" s="24"/>
      <c r="BQ617" s="24"/>
      <c r="BR617" s="24"/>
      <c r="BS617" s="24"/>
      <c r="BT617" s="24"/>
      <c r="BU617" s="24"/>
      <c r="BV617" s="24"/>
      <c r="BW617" s="24"/>
      <c r="BX617" s="24"/>
      <c r="BY617" s="24"/>
      <c r="BZ617" s="24"/>
      <c r="CA617" s="24"/>
      <c r="CB617" s="24"/>
      <c r="CC617" s="24"/>
      <c r="CD617" s="24"/>
    </row>
    <row r="618" spans="2:82" ht="16.5" customHeight="1" x14ac:dyDescent="0.3">
      <c r="B618" s="26"/>
      <c r="C618" s="26"/>
      <c r="D618" s="26"/>
      <c r="E618" s="26"/>
      <c r="F618" s="26"/>
      <c r="G618" s="26"/>
      <c r="H618" s="24"/>
      <c r="I618" s="27"/>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c r="BA618" s="24"/>
      <c r="BB618" s="24"/>
      <c r="BC618" s="24"/>
      <c r="BD618" s="24"/>
      <c r="BE618" s="24"/>
      <c r="BF618" s="24"/>
      <c r="BG618" s="24"/>
      <c r="BH618" s="24"/>
      <c r="BI618" s="24"/>
      <c r="BJ618" s="24"/>
      <c r="BK618" s="24"/>
      <c r="BL618" s="24"/>
      <c r="BM618" s="24"/>
      <c r="BN618" s="24"/>
      <c r="BO618" s="24"/>
      <c r="BP618" s="24"/>
      <c r="BQ618" s="24"/>
      <c r="BR618" s="24"/>
      <c r="BS618" s="24"/>
      <c r="BT618" s="24"/>
      <c r="BU618" s="24"/>
      <c r="BV618" s="24"/>
      <c r="BW618" s="24"/>
      <c r="BX618" s="24"/>
      <c r="BY618" s="24"/>
      <c r="BZ618" s="24"/>
      <c r="CA618" s="24"/>
      <c r="CB618" s="24"/>
      <c r="CC618" s="24"/>
      <c r="CD618" s="24"/>
    </row>
    <row r="619" spans="2:82" ht="16.5" customHeight="1" x14ac:dyDescent="0.3">
      <c r="B619" s="26"/>
      <c r="C619" s="26"/>
      <c r="D619" s="26"/>
      <c r="E619" s="26"/>
      <c r="F619" s="26"/>
      <c r="G619" s="26"/>
      <c r="H619" s="24"/>
      <c r="I619" s="27"/>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c r="BA619" s="24"/>
      <c r="BB619" s="24"/>
      <c r="BC619" s="24"/>
      <c r="BD619" s="24"/>
      <c r="BE619" s="24"/>
      <c r="BF619" s="24"/>
      <c r="BG619" s="24"/>
      <c r="BH619" s="24"/>
      <c r="BI619" s="24"/>
      <c r="BJ619" s="24"/>
      <c r="BK619" s="24"/>
      <c r="BL619" s="24"/>
      <c r="BM619" s="24"/>
      <c r="BN619" s="24"/>
      <c r="BO619" s="24"/>
      <c r="BP619" s="24"/>
      <c r="BQ619" s="24"/>
      <c r="BR619" s="24"/>
      <c r="BS619" s="24"/>
      <c r="BT619" s="24"/>
      <c r="BU619" s="24"/>
      <c r="BV619" s="24"/>
      <c r="BW619" s="24"/>
      <c r="BX619" s="24"/>
      <c r="BY619" s="24"/>
      <c r="BZ619" s="24"/>
      <c r="CA619" s="24"/>
      <c r="CB619" s="24"/>
      <c r="CC619" s="24"/>
      <c r="CD619" s="24"/>
    </row>
    <row r="620" spans="2:82" ht="16.5" customHeight="1" x14ac:dyDescent="0.3">
      <c r="B620" s="26"/>
      <c r="C620" s="26"/>
      <c r="D620" s="26"/>
      <c r="E620" s="26"/>
      <c r="F620" s="26"/>
      <c r="G620" s="26"/>
      <c r="H620" s="24"/>
      <c r="I620" s="27"/>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c r="BA620" s="24"/>
      <c r="BB620" s="24"/>
      <c r="BC620" s="24"/>
      <c r="BD620" s="24"/>
      <c r="BE620" s="24"/>
      <c r="BF620" s="24"/>
      <c r="BG620" s="24"/>
      <c r="BH620" s="24"/>
      <c r="BI620" s="24"/>
      <c r="BJ620" s="24"/>
      <c r="BK620" s="24"/>
      <c r="BL620" s="24"/>
      <c r="BM620" s="24"/>
      <c r="BN620" s="24"/>
      <c r="BO620" s="24"/>
      <c r="BP620" s="24"/>
      <c r="BQ620" s="24"/>
      <c r="BR620" s="24"/>
      <c r="BS620" s="24"/>
      <c r="BT620" s="24"/>
      <c r="BU620" s="24"/>
      <c r="BV620" s="24"/>
      <c r="BW620" s="24"/>
      <c r="BX620" s="24"/>
      <c r="BY620" s="24"/>
      <c r="BZ620" s="24"/>
      <c r="CA620" s="24"/>
      <c r="CB620" s="24"/>
      <c r="CC620" s="24"/>
      <c r="CD620" s="24"/>
    </row>
    <row r="621" spans="2:82" ht="16.5" customHeight="1" x14ac:dyDescent="0.3">
      <c r="B621" s="26"/>
      <c r="C621" s="26"/>
      <c r="D621" s="26"/>
      <c r="E621" s="26"/>
      <c r="F621" s="26"/>
      <c r="G621" s="26"/>
      <c r="H621" s="24"/>
      <c r="I621" s="27"/>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c r="BA621" s="24"/>
      <c r="BB621" s="24"/>
      <c r="BC621" s="24"/>
      <c r="BD621" s="24"/>
      <c r="BE621" s="24"/>
      <c r="BF621" s="24"/>
      <c r="BG621" s="24"/>
      <c r="BH621" s="24"/>
      <c r="BI621" s="24"/>
      <c r="BJ621" s="24"/>
      <c r="BK621" s="24"/>
      <c r="BL621" s="24"/>
      <c r="BM621" s="24"/>
      <c r="BN621" s="24"/>
      <c r="BO621" s="24"/>
      <c r="BP621" s="24"/>
      <c r="BQ621" s="24"/>
      <c r="BR621" s="24"/>
      <c r="BS621" s="24"/>
      <c r="BT621" s="24"/>
      <c r="BU621" s="24"/>
      <c r="BV621" s="24"/>
      <c r="BW621" s="24"/>
      <c r="BX621" s="24"/>
      <c r="BY621" s="24"/>
      <c r="BZ621" s="24"/>
      <c r="CA621" s="24"/>
      <c r="CB621" s="24"/>
      <c r="CC621" s="24"/>
      <c r="CD621" s="24"/>
    </row>
    <row r="622" spans="2:82" ht="16.5" customHeight="1" x14ac:dyDescent="0.3">
      <c r="B622" s="26"/>
      <c r="C622" s="26"/>
      <c r="D622" s="26"/>
      <c r="E622" s="26"/>
      <c r="F622" s="26"/>
      <c r="G622" s="26"/>
      <c r="H622" s="24"/>
      <c r="I622" s="27"/>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c r="BA622" s="24"/>
      <c r="BB622" s="24"/>
      <c r="BC622" s="24"/>
      <c r="BD622" s="24"/>
      <c r="BE622" s="24"/>
      <c r="BF622" s="24"/>
      <c r="BG622" s="24"/>
      <c r="BH622" s="24"/>
      <c r="BI622" s="24"/>
      <c r="BJ622" s="24"/>
      <c r="BK622" s="24"/>
      <c r="BL622" s="24"/>
      <c r="BM622" s="24"/>
      <c r="BN622" s="24"/>
      <c r="BO622" s="24"/>
      <c r="BP622" s="24"/>
      <c r="BQ622" s="24"/>
      <c r="BR622" s="24"/>
      <c r="BS622" s="24"/>
      <c r="BT622" s="24"/>
      <c r="BU622" s="24"/>
      <c r="BV622" s="24"/>
      <c r="BW622" s="24"/>
      <c r="BX622" s="24"/>
      <c r="BY622" s="24"/>
      <c r="BZ622" s="24"/>
      <c r="CA622" s="24"/>
      <c r="CB622" s="24"/>
      <c r="CC622" s="24"/>
      <c r="CD622" s="24"/>
    </row>
    <row r="623" spans="2:82" ht="16.5" customHeight="1" x14ac:dyDescent="0.3">
      <c r="B623" s="26"/>
      <c r="C623" s="26"/>
      <c r="D623" s="26"/>
      <c r="E623" s="26"/>
      <c r="F623" s="26"/>
      <c r="G623" s="26"/>
      <c r="H623" s="24"/>
      <c r="I623" s="27"/>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c r="BA623" s="24"/>
      <c r="BB623" s="24"/>
      <c r="BC623" s="24"/>
      <c r="BD623" s="24"/>
      <c r="BE623" s="24"/>
      <c r="BF623" s="24"/>
      <c r="BG623" s="24"/>
      <c r="BH623" s="24"/>
      <c r="BI623" s="24"/>
      <c r="BJ623" s="24"/>
      <c r="BK623" s="24"/>
      <c r="BL623" s="24"/>
      <c r="BM623" s="24"/>
      <c r="BN623" s="24"/>
      <c r="BO623" s="24"/>
      <c r="BP623" s="24"/>
      <c r="BQ623" s="24"/>
      <c r="BR623" s="24"/>
      <c r="BS623" s="24"/>
      <c r="BT623" s="24"/>
      <c r="BU623" s="24"/>
      <c r="BV623" s="24"/>
      <c r="BW623" s="24"/>
      <c r="BX623" s="24"/>
      <c r="BY623" s="24"/>
      <c r="BZ623" s="24"/>
      <c r="CA623" s="24"/>
      <c r="CB623" s="24"/>
      <c r="CC623" s="24"/>
      <c r="CD623" s="24"/>
    </row>
    <row r="624" spans="2:82" ht="16.5" customHeight="1" x14ac:dyDescent="0.3">
      <c r="B624" s="26"/>
      <c r="C624" s="26"/>
      <c r="D624" s="26"/>
      <c r="E624" s="26"/>
      <c r="F624" s="26"/>
      <c r="G624" s="26"/>
      <c r="H624" s="24"/>
      <c r="I624" s="27"/>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c r="BA624" s="24"/>
      <c r="BB624" s="24"/>
      <c r="BC624" s="24"/>
      <c r="BD624" s="24"/>
      <c r="BE624" s="24"/>
      <c r="BF624" s="24"/>
      <c r="BG624" s="24"/>
      <c r="BH624" s="24"/>
      <c r="BI624" s="24"/>
      <c r="BJ624" s="24"/>
      <c r="BK624" s="24"/>
      <c r="BL624" s="24"/>
      <c r="BM624" s="24"/>
      <c r="BN624" s="24"/>
      <c r="BO624" s="24"/>
      <c r="BP624" s="24"/>
      <c r="BQ624" s="24"/>
      <c r="BR624" s="24"/>
      <c r="BS624" s="24"/>
      <c r="BT624" s="24"/>
      <c r="BU624" s="24"/>
      <c r="BV624" s="24"/>
      <c r="BW624" s="24"/>
      <c r="BX624" s="24"/>
      <c r="BY624" s="24"/>
      <c r="BZ624" s="24"/>
      <c r="CA624" s="24"/>
      <c r="CB624" s="24"/>
      <c r="CC624" s="24"/>
      <c r="CD624" s="24"/>
    </row>
    <row r="625" spans="2:82" ht="16.5" customHeight="1" x14ac:dyDescent="0.3">
      <c r="B625" s="26"/>
      <c r="C625" s="26"/>
      <c r="D625" s="26"/>
      <c r="E625" s="26"/>
      <c r="F625" s="26"/>
      <c r="G625" s="26"/>
      <c r="H625" s="24"/>
      <c r="I625" s="27"/>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c r="BA625" s="24"/>
      <c r="BB625" s="24"/>
      <c r="BC625" s="24"/>
      <c r="BD625" s="24"/>
      <c r="BE625" s="24"/>
      <c r="BF625" s="24"/>
      <c r="BG625" s="24"/>
      <c r="BH625" s="24"/>
      <c r="BI625" s="24"/>
      <c r="BJ625" s="24"/>
      <c r="BK625" s="24"/>
      <c r="BL625" s="24"/>
      <c r="BM625" s="24"/>
      <c r="BN625" s="24"/>
      <c r="BO625" s="24"/>
      <c r="BP625" s="24"/>
      <c r="BQ625" s="24"/>
      <c r="BR625" s="24"/>
      <c r="BS625" s="24"/>
      <c r="BT625" s="24"/>
      <c r="BU625" s="24"/>
      <c r="BV625" s="24"/>
      <c r="BW625" s="24"/>
      <c r="BX625" s="24"/>
      <c r="BY625" s="24"/>
      <c r="BZ625" s="24"/>
      <c r="CA625" s="24"/>
      <c r="CB625" s="24"/>
      <c r="CC625" s="24"/>
      <c r="CD625" s="24"/>
    </row>
    <row r="626" spans="2:82" ht="16.5" customHeight="1" x14ac:dyDescent="0.3">
      <c r="B626" s="26"/>
      <c r="C626" s="26"/>
      <c r="D626" s="26"/>
      <c r="E626" s="26"/>
      <c r="F626" s="26"/>
      <c r="G626" s="26"/>
      <c r="H626" s="24"/>
      <c r="I626" s="27"/>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c r="BA626" s="24"/>
      <c r="BB626" s="24"/>
      <c r="BC626" s="24"/>
      <c r="BD626" s="24"/>
      <c r="BE626" s="24"/>
      <c r="BF626" s="24"/>
      <c r="BG626" s="24"/>
      <c r="BH626" s="24"/>
      <c r="BI626" s="24"/>
      <c r="BJ626" s="24"/>
      <c r="BK626" s="24"/>
      <c r="BL626" s="24"/>
      <c r="BM626" s="24"/>
      <c r="BN626" s="24"/>
      <c r="BO626" s="24"/>
      <c r="BP626" s="24"/>
      <c r="BQ626" s="24"/>
      <c r="BR626" s="24"/>
      <c r="BS626" s="24"/>
      <c r="BT626" s="24"/>
      <c r="BU626" s="24"/>
      <c r="BV626" s="24"/>
      <c r="BW626" s="24"/>
      <c r="BX626" s="24"/>
      <c r="BY626" s="24"/>
      <c r="BZ626" s="24"/>
      <c r="CA626" s="24"/>
      <c r="CB626" s="24"/>
      <c r="CC626" s="24"/>
      <c r="CD626" s="24"/>
    </row>
    <row r="627" spans="2:82" ht="16.5" customHeight="1" x14ac:dyDescent="0.3">
      <c r="B627" s="26"/>
      <c r="C627" s="26"/>
      <c r="D627" s="26"/>
      <c r="E627" s="26"/>
      <c r="F627" s="26"/>
      <c r="G627" s="26"/>
      <c r="H627" s="24"/>
      <c r="I627" s="27"/>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c r="BA627" s="24"/>
      <c r="BB627" s="24"/>
      <c r="BC627" s="24"/>
      <c r="BD627" s="24"/>
      <c r="BE627" s="24"/>
      <c r="BF627" s="24"/>
      <c r="BG627" s="24"/>
      <c r="BH627" s="24"/>
      <c r="BI627" s="24"/>
      <c r="BJ627" s="24"/>
      <c r="BK627" s="24"/>
      <c r="BL627" s="24"/>
      <c r="BM627" s="24"/>
      <c r="BN627" s="24"/>
      <c r="BO627" s="24"/>
      <c r="BP627" s="24"/>
      <c r="BQ627" s="24"/>
      <c r="BR627" s="24"/>
      <c r="BS627" s="24"/>
      <c r="BT627" s="24"/>
      <c r="BU627" s="24"/>
      <c r="BV627" s="24"/>
      <c r="BW627" s="24"/>
      <c r="BX627" s="24"/>
      <c r="BY627" s="24"/>
      <c r="BZ627" s="24"/>
      <c r="CA627" s="24"/>
      <c r="CB627" s="24"/>
      <c r="CC627" s="24"/>
      <c r="CD627" s="24"/>
    </row>
    <row r="628" spans="2:82" ht="16.5" customHeight="1" x14ac:dyDescent="0.3">
      <c r="B628" s="26"/>
      <c r="C628" s="26"/>
      <c r="D628" s="26"/>
      <c r="E628" s="26"/>
      <c r="F628" s="26"/>
      <c r="G628" s="26"/>
      <c r="H628" s="24"/>
      <c r="I628" s="27"/>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c r="BA628" s="24"/>
      <c r="BB628" s="24"/>
      <c r="BC628" s="24"/>
      <c r="BD628" s="24"/>
      <c r="BE628" s="24"/>
      <c r="BF628" s="24"/>
      <c r="BG628" s="24"/>
      <c r="BH628" s="24"/>
      <c r="BI628" s="24"/>
      <c r="BJ628" s="24"/>
      <c r="BK628" s="24"/>
      <c r="BL628" s="24"/>
      <c r="BM628" s="24"/>
      <c r="BN628" s="24"/>
      <c r="BO628" s="24"/>
      <c r="BP628" s="24"/>
      <c r="BQ628" s="24"/>
      <c r="BR628" s="24"/>
      <c r="BS628" s="24"/>
      <c r="BT628" s="24"/>
      <c r="BU628" s="24"/>
      <c r="BV628" s="24"/>
      <c r="BW628" s="24"/>
      <c r="BX628" s="24"/>
      <c r="BY628" s="24"/>
      <c r="BZ628" s="24"/>
      <c r="CA628" s="24"/>
      <c r="CB628" s="24"/>
      <c r="CC628" s="24"/>
      <c r="CD628" s="24"/>
    </row>
    <row r="629" spans="2:82" ht="16.5" customHeight="1" x14ac:dyDescent="0.3">
      <c r="B629" s="26"/>
      <c r="C629" s="26"/>
      <c r="D629" s="26"/>
      <c r="E629" s="26"/>
      <c r="F629" s="26"/>
      <c r="G629" s="26"/>
      <c r="H629" s="24"/>
      <c r="I629" s="27"/>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c r="BA629" s="24"/>
      <c r="BB629" s="24"/>
      <c r="BC629" s="24"/>
      <c r="BD629" s="24"/>
      <c r="BE629" s="24"/>
      <c r="BF629" s="24"/>
      <c r="BG629" s="24"/>
      <c r="BH629" s="24"/>
      <c r="BI629" s="24"/>
      <c r="BJ629" s="24"/>
      <c r="BK629" s="24"/>
      <c r="BL629" s="24"/>
      <c r="BM629" s="24"/>
      <c r="BN629" s="24"/>
      <c r="BO629" s="24"/>
      <c r="BP629" s="24"/>
      <c r="BQ629" s="24"/>
      <c r="BR629" s="24"/>
      <c r="BS629" s="24"/>
      <c r="BT629" s="24"/>
      <c r="BU629" s="24"/>
      <c r="BV629" s="24"/>
      <c r="BW629" s="24"/>
      <c r="BX629" s="24"/>
      <c r="BY629" s="24"/>
      <c r="BZ629" s="24"/>
      <c r="CA629" s="24"/>
      <c r="CB629" s="24"/>
      <c r="CC629" s="24"/>
      <c r="CD629" s="24"/>
    </row>
    <row r="630" spans="2:82" ht="16.5" customHeight="1" x14ac:dyDescent="0.3">
      <c r="B630" s="26"/>
      <c r="C630" s="26"/>
      <c r="D630" s="26"/>
      <c r="E630" s="26"/>
      <c r="F630" s="26"/>
      <c r="G630" s="26"/>
      <c r="H630" s="24"/>
      <c r="I630" s="27"/>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c r="BA630" s="24"/>
      <c r="BB630" s="24"/>
      <c r="BC630" s="24"/>
      <c r="BD630" s="24"/>
      <c r="BE630" s="24"/>
      <c r="BF630" s="24"/>
      <c r="BG630" s="24"/>
      <c r="BH630" s="24"/>
      <c r="BI630" s="24"/>
      <c r="BJ630" s="24"/>
      <c r="BK630" s="24"/>
      <c r="BL630" s="24"/>
      <c r="BM630" s="24"/>
      <c r="BN630" s="24"/>
      <c r="BO630" s="24"/>
      <c r="BP630" s="24"/>
      <c r="BQ630" s="24"/>
      <c r="BR630" s="24"/>
      <c r="BS630" s="24"/>
      <c r="BT630" s="24"/>
      <c r="BU630" s="24"/>
      <c r="BV630" s="24"/>
      <c r="BW630" s="24"/>
      <c r="BX630" s="24"/>
      <c r="BY630" s="24"/>
      <c r="BZ630" s="24"/>
      <c r="CA630" s="24"/>
      <c r="CB630" s="24"/>
      <c r="CC630" s="24"/>
      <c r="CD630" s="24"/>
    </row>
    <row r="631" spans="2:82" ht="16.5" customHeight="1" x14ac:dyDescent="0.3">
      <c r="B631" s="26"/>
      <c r="C631" s="26"/>
      <c r="D631" s="26"/>
      <c r="E631" s="26"/>
      <c r="F631" s="26"/>
      <c r="G631" s="26"/>
      <c r="H631" s="24"/>
      <c r="I631" s="27"/>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c r="BA631" s="24"/>
      <c r="BB631" s="24"/>
      <c r="BC631" s="24"/>
      <c r="BD631" s="24"/>
      <c r="BE631" s="24"/>
      <c r="BF631" s="24"/>
      <c r="BG631" s="24"/>
      <c r="BH631" s="24"/>
      <c r="BI631" s="24"/>
      <c r="BJ631" s="24"/>
      <c r="BK631" s="24"/>
      <c r="BL631" s="24"/>
      <c r="BM631" s="24"/>
      <c r="BN631" s="24"/>
      <c r="BO631" s="24"/>
      <c r="BP631" s="24"/>
      <c r="BQ631" s="24"/>
      <c r="BR631" s="24"/>
      <c r="BS631" s="24"/>
      <c r="BT631" s="24"/>
      <c r="BU631" s="24"/>
      <c r="BV631" s="24"/>
      <c r="BW631" s="24"/>
      <c r="BX631" s="24"/>
      <c r="BY631" s="24"/>
      <c r="BZ631" s="24"/>
      <c r="CA631" s="24"/>
      <c r="CB631" s="24"/>
      <c r="CC631" s="24"/>
      <c r="CD631" s="24"/>
    </row>
    <row r="632" spans="2:82" ht="16.5" customHeight="1" x14ac:dyDescent="0.3">
      <c r="B632" s="26"/>
      <c r="C632" s="26"/>
      <c r="D632" s="26"/>
      <c r="E632" s="26"/>
      <c r="F632" s="26"/>
      <c r="G632" s="26"/>
      <c r="H632" s="24"/>
      <c r="I632" s="27"/>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c r="BA632" s="24"/>
      <c r="BB632" s="24"/>
      <c r="BC632" s="24"/>
      <c r="BD632" s="24"/>
      <c r="BE632" s="24"/>
      <c r="BF632" s="24"/>
      <c r="BG632" s="24"/>
      <c r="BH632" s="24"/>
      <c r="BI632" s="24"/>
      <c r="BJ632" s="24"/>
      <c r="BK632" s="24"/>
      <c r="BL632" s="24"/>
      <c r="BM632" s="24"/>
      <c r="BN632" s="24"/>
      <c r="BO632" s="24"/>
      <c r="BP632" s="24"/>
      <c r="BQ632" s="24"/>
      <c r="BR632" s="24"/>
      <c r="BS632" s="24"/>
      <c r="BT632" s="24"/>
      <c r="BU632" s="24"/>
      <c r="BV632" s="24"/>
      <c r="BW632" s="24"/>
      <c r="BX632" s="24"/>
      <c r="BY632" s="24"/>
      <c r="BZ632" s="24"/>
      <c r="CA632" s="24"/>
      <c r="CB632" s="24"/>
      <c r="CC632" s="24"/>
      <c r="CD632" s="24"/>
    </row>
    <row r="633" spans="2:82" ht="16.5" customHeight="1" x14ac:dyDescent="0.3">
      <c r="B633" s="26"/>
      <c r="C633" s="26"/>
      <c r="D633" s="26"/>
      <c r="E633" s="26"/>
      <c r="F633" s="26"/>
      <c r="G633" s="26"/>
      <c r="H633" s="24"/>
      <c r="I633" s="27"/>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c r="BA633" s="24"/>
      <c r="BB633" s="24"/>
      <c r="BC633" s="24"/>
      <c r="BD633" s="24"/>
      <c r="BE633" s="24"/>
      <c r="BF633" s="24"/>
      <c r="BG633" s="24"/>
      <c r="BH633" s="24"/>
      <c r="BI633" s="24"/>
      <c r="BJ633" s="24"/>
      <c r="BK633" s="24"/>
      <c r="BL633" s="24"/>
      <c r="BM633" s="24"/>
      <c r="BN633" s="24"/>
      <c r="BO633" s="24"/>
      <c r="BP633" s="24"/>
      <c r="BQ633" s="24"/>
      <c r="BR633" s="24"/>
      <c r="BS633" s="24"/>
      <c r="BT633" s="24"/>
      <c r="BU633" s="24"/>
      <c r="BV633" s="24"/>
      <c r="BW633" s="24"/>
      <c r="BX633" s="24"/>
      <c r="BY633" s="24"/>
      <c r="BZ633" s="24"/>
      <c r="CA633" s="24"/>
      <c r="CB633" s="24"/>
      <c r="CC633" s="24"/>
      <c r="CD633" s="24"/>
    </row>
    <row r="634" spans="2:82" ht="16.5" customHeight="1" x14ac:dyDescent="0.3">
      <c r="B634" s="26"/>
      <c r="C634" s="26"/>
      <c r="D634" s="26"/>
      <c r="E634" s="26"/>
      <c r="F634" s="26"/>
      <c r="G634" s="26"/>
      <c r="H634" s="24"/>
      <c r="I634" s="27"/>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c r="BC634" s="24"/>
      <c r="BD634" s="24"/>
      <c r="BE634" s="24"/>
      <c r="BF634" s="24"/>
      <c r="BG634" s="24"/>
      <c r="BH634" s="24"/>
      <c r="BI634" s="24"/>
      <c r="BJ634" s="24"/>
      <c r="BK634" s="24"/>
      <c r="BL634" s="24"/>
      <c r="BM634" s="24"/>
      <c r="BN634" s="24"/>
      <c r="BO634" s="24"/>
      <c r="BP634" s="24"/>
      <c r="BQ634" s="24"/>
      <c r="BR634" s="24"/>
      <c r="BS634" s="24"/>
      <c r="BT634" s="24"/>
      <c r="BU634" s="24"/>
      <c r="BV634" s="24"/>
      <c r="BW634" s="24"/>
      <c r="BX634" s="24"/>
      <c r="BY634" s="24"/>
      <c r="BZ634" s="24"/>
      <c r="CA634" s="24"/>
      <c r="CB634" s="24"/>
      <c r="CC634" s="24"/>
      <c r="CD634" s="24"/>
    </row>
    <row r="635" spans="2:82" ht="16.5" customHeight="1" x14ac:dyDescent="0.3">
      <c r="B635" s="26"/>
      <c r="C635" s="26"/>
      <c r="D635" s="26"/>
      <c r="E635" s="26"/>
      <c r="F635" s="26"/>
      <c r="G635" s="26"/>
      <c r="H635" s="24"/>
      <c r="I635" s="27"/>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c r="BA635" s="24"/>
      <c r="BB635" s="24"/>
      <c r="BC635" s="24"/>
      <c r="BD635" s="24"/>
      <c r="BE635" s="24"/>
      <c r="BF635" s="24"/>
      <c r="BG635" s="24"/>
      <c r="BH635" s="24"/>
      <c r="BI635" s="24"/>
      <c r="BJ635" s="24"/>
      <c r="BK635" s="24"/>
      <c r="BL635" s="24"/>
      <c r="BM635" s="24"/>
      <c r="BN635" s="24"/>
      <c r="BO635" s="24"/>
      <c r="BP635" s="24"/>
      <c r="BQ635" s="24"/>
      <c r="BR635" s="24"/>
      <c r="BS635" s="24"/>
      <c r="BT635" s="24"/>
      <c r="BU635" s="24"/>
      <c r="BV635" s="24"/>
      <c r="BW635" s="24"/>
      <c r="BX635" s="24"/>
      <c r="BY635" s="24"/>
      <c r="BZ635" s="24"/>
      <c r="CA635" s="24"/>
      <c r="CB635" s="24"/>
      <c r="CC635" s="24"/>
      <c r="CD635" s="24"/>
    </row>
    <row r="636" spans="2:82" ht="16.5" customHeight="1" x14ac:dyDescent="0.3">
      <c r="B636" s="26"/>
      <c r="C636" s="26"/>
      <c r="D636" s="26"/>
      <c r="E636" s="26"/>
      <c r="F636" s="26"/>
      <c r="G636" s="26"/>
      <c r="H636" s="24"/>
      <c r="I636" s="27"/>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c r="BC636" s="24"/>
      <c r="BD636" s="24"/>
      <c r="BE636" s="24"/>
      <c r="BF636" s="24"/>
      <c r="BG636" s="24"/>
      <c r="BH636" s="24"/>
      <c r="BI636" s="24"/>
      <c r="BJ636" s="24"/>
      <c r="BK636" s="24"/>
      <c r="BL636" s="24"/>
      <c r="BM636" s="24"/>
      <c r="BN636" s="24"/>
      <c r="BO636" s="24"/>
      <c r="BP636" s="24"/>
      <c r="BQ636" s="24"/>
      <c r="BR636" s="24"/>
      <c r="BS636" s="24"/>
      <c r="BT636" s="24"/>
      <c r="BU636" s="24"/>
      <c r="BV636" s="24"/>
      <c r="BW636" s="24"/>
      <c r="BX636" s="24"/>
      <c r="BY636" s="24"/>
      <c r="BZ636" s="24"/>
      <c r="CA636" s="24"/>
      <c r="CB636" s="24"/>
      <c r="CC636" s="24"/>
      <c r="CD636" s="24"/>
    </row>
    <row r="637" spans="2:82" ht="16.5" customHeight="1" x14ac:dyDescent="0.3">
      <c r="B637" s="26"/>
      <c r="C637" s="26"/>
      <c r="D637" s="26"/>
      <c r="E637" s="26"/>
      <c r="F637" s="26"/>
      <c r="G637" s="26"/>
      <c r="H637" s="24"/>
      <c r="I637" s="27"/>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c r="BC637" s="24"/>
      <c r="BD637" s="24"/>
      <c r="BE637" s="24"/>
      <c r="BF637" s="24"/>
      <c r="BG637" s="24"/>
      <c r="BH637" s="24"/>
      <c r="BI637" s="24"/>
      <c r="BJ637" s="24"/>
      <c r="BK637" s="24"/>
      <c r="BL637" s="24"/>
      <c r="BM637" s="24"/>
      <c r="BN637" s="24"/>
      <c r="BO637" s="24"/>
      <c r="BP637" s="24"/>
      <c r="BQ637" s="24"/>
      <c r="BR637" s="24"/>
      <c r="BS637" s="24"/>
      <c r="BT637" s="24"/>
      <c r="BU637" s="24"/>
      <c r="BV637" s="24"/>
      <c r="BW637" s="24"/>
      <c r="BX637" s="24"/>
      <c r="BY637" s="24"/>
      <c r="BZ637" s="24"/>
      <c r="CA637" s="24"/>
      <c r="CB637" s="24"/>
      <c r="CC637" s="24"/>
      <c r="CD637" s="24"/>
    </row>
    <row r="638" spans="2:82" ht="16.5" customHeight="1" x14ac:dyDescent="0.3">
      <c r="B638" s="26"/>
      <c r="C638" s="26"/>
      <c r="D638" s="26"/>
      <c r="E638" s="26"/>
      <c r="F638" s="26"/>
      <c r="G638" s="26"/>
      <c r="H638" s="24"/>
      <c r="I638" s="27"/>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C638" s="24"/>
      <c r="BD638" s="24"/>
      <c r="BE638" s="24"/>
      <c r="BF638" s="24"/>
      <c r="BG638" s="24"/>
      <c r="BH638" s="24"/>
      <c r="BI638" s="24"/>
      <c r="BJ638" s="24"/>
      <c r="BK638" s="24"/>
      <c r="BL638" s="24"/>
      <c r="BM638" s="24"/>
      <c r="BN638" s="24"/>
      <c r="BO638" s="24"/>
      <c r="BP638" s="24"/>
      <c r="BQ638" s="24"/>
      <c r="BR638" s="24"/>
      <c r="BS638" s="24"/>
      <c r="BT638" s="24"/>
      <c r="BU638" s="24"/>
      <c r="BV638" s="24"/>
      <c r="BW638" s="24"/>
      <c r="BX638" s="24"/>
      <c r="BY638" s="24"/>
      <c r="BZ638" s="24"/>
      <c r="CA638" s="24"/>
      <c r="CB638" s="24"/>
      <c r="CC638" s="24"/>
      <c r="CD638" s="24"/>
    </row>
    <row r="639" spans="2:82" ht="16.5" customHeight="1" x14ac:dyDescent="0.3">
      <c r="B639" s="26"/>
      <c r="C639" s="26"/>
      <c r="D639" s="26"/>
      <c r="E639" s="26"/>
      <c r="F639" s="26"/>
      <c r="G639" s="26"/>
      <c r="H639" s="24"/>
      <c r="I639" s="27"/>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c r="BC639" s="24"/>
      <c r="BD639" s="24"/>
      <c r="BE639" s="24"/>
      <c r="BF639" s="24"/>
      <c r="BG639" s="24"/>
      <c r="BH639" s="24"/>
      <c r="BI639" s="24"/>
      <c r="BJ639" s="24"/>
      <c r="BK639" s="24"/>
      <c r="BL639" s="24"/>
      <c r="BM639" s="24"/>
      <c r="BN639" s="24"/>
      <c r="BO639" s="24"/>
      <c r="BP639" s="24"/>
      <c r="BQ639" s="24"/>
      <c r="BR639" s="24"/>
      <c r="BS639" s="24"/>
      <c r="BT639" s="24"/>
      <c r="BU639" s="24"/>
      <c r="BV639" s="24"/>
      <c r="BW639" s="24"/>
      <c r="BX639" s="24"/>
      <c r="BY639" s="24"/>
      <c r="BZ639" s="24"/>
      <c r="CA639" s="24"/>
      <c r="CB639" s="24"/>
      <c r="CC639" s="24"/>
      <c r="CD639" s="24"/>
    </row>
    <row r="640" spans="2:82" ht="16.5" customHeight="1" x14ac:dyDescent="0.3">
      <c r="B640" s="26"/>
      <c r="C640" s="26"/>
      <c r="D640" s="26"/>
      <c r="E640" s="26"/>
      <c r="F640" s="26"/>
      <c r="G640" s="26"/>
      <c r="H640" s="24"/>
      <c r="I640" s="27"/>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c r="BC640" s="24"/>
      <c r="BD640" s="24"/>
      <c r="BE640" s="24"/>
      <c r="BF640" s="24"/>
      <c r="BG640" s="24"/>
      <c r="BH640" s="24"/>
      <c r="BI640" s="24"/>
      <c r="BJ640" s="24"/>
      <c r="BK640" s="24"/>
      <c r="BL640" s="24"/>
      <c r="BM640" s="24"/>
      <c r="BN640" s="24"/>
      <c r="BO640" s="24"/>
      <c r="BP640" s="24"/>
      <c r="BQ640" s="24"/>
      <c r="BR640" s="24"/>
      <c r="BS640" s="24"/>
      <c r="BT640" s="24"/>
      <c r="BU640" s="24"/>
      <c r="BV640" s="24"/>
      <c r="BW640" s="24"/>
      <c r="BX640" s="24"/>
      <c r="BY640" s="24"/>
      <c r="BZ640" s="24"/>
      <c r="CA640" s="24"/>
      <c r="CB640" s="24"/>
      <c r="CC640" s="24"/>
      <c r="CD640" s="24"/>
    </row>
    <row r="641" spans="2:82" ht="16.5" customHeight="1" x14ac:dyDescent="0.3">
      <c r="B641" s="26"/>
      <c r="C641" s="26"/>
      <c r="D641" s="26"/>
      <c r="E641" s="26"/>
      <c r="F641" s="26"/>
      <c r="G641" s="26"/>
      <c r="H641" s="24"/>
      <c r="I641" s="27"/>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c r="BA641" s="24"/>
      <c r="BB641" s="24"/>
      <c r="BC641" s="24"/>
      <c r="BD641" s="24"/>
      <c r="BE641" s="24"/>
      <c r="BF641" s="24"/>
      <c r="BG641" s="24"/>
      <c r="BH641" s="24"/>
      <c r="BI641" s="24"/>
      <c r="BJ641" s="24"/>
      <c r="BK641" s="24"/>
      <c r="BL641" s="24"/>
      <c r="BM641" s="24"/>
      <c r="BN641" s="24"/>
      <c r="BO641" s="24"/>
      <c r="BP641" s="24"/>
      <c r="BQ641" s="24"/>
      <c r="BR641" s="24"/>
      <c r="BS641" s="24"/>
      <c r="BT641" s="24"/>
      <c r="BU641" s="24"/>
      <c r="BV641" s="24"/>
      <c r="BW641" s="24"/>
      <c r="BX641" s="24"/>
      <c r="BY641" s="24"/>
      <c r="BZ641" s="24"/>
      <c r="CA641" s="24"/>
      <c r="CB641" s="24"/>
      <c r="CC641" s="24"/>
      <c r="CD641" s="24"/>
    </row>
    <row r="642" spans="2:82" ht="16.5" customHeight="1" x14ac:dyDescent="0.3">
      <c r="B642" s="26"/>
      <c r="C642" s="26"/>
      <c r="D642" s="26"/>
      <c r="E642" s="26"/>
      <c r="F642" s="26"/>
      <c r="G642" s="26"/>
      <c r="H642" s="24"/>
      <c r="I642" s="27"/>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row>
    <row r="643" spans="2:82" ht="16.5" customHeight="1" x14ac:dyDescent="0.3">
      <c r="B643" s="26"/>
      <c r="C643" s="26"/>
      <c r="D643" s="26"/>
      <c r="E643" s="26"/>
      <c r="F643" s="26"/>
      <c r="G643" s="26"/>
      <c r="H643" s="24"/>
      <c r="I643" s="27"/>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row>
    <row r="644" spans="2:82" ht="16.5" customHeight="1" x14ac:dyDescent="0.3">
      <c r="B644" s="26"/>
      <c r="C644" s="26"/>
      <c r="D644" s="26"/>
      <c r="E644" s="26"/>
      <c r="F644" s="26"/>
      <c r="G644" s="26"/>
      <c r="H644" s="24"/>
      <c r="I644" s="27"/>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c r="BA644" s="24"/>
      <c r="BB644" s="24"/>
      <c r="BC644" s="24"/>
      <c r="BD644" s="24"/>
      <c r="BE644" s="24"/>
      <c r="BF644" s="24"/>
      <c r="BG644" s="24"/>
      <c r="BH644" s="24"/>
      <c r="BI644" s="24"/>
      <c r="BJ644" s="24"/>
      <c r="BK644" s="24"/>
      <c r="BL644" s="24"/>
      <c r="BM644" s="24"/>
      <c r="BN644" s="24"/>
      <c r="BO644" s="24"/>
      <c r="BP644" s="24"/>
      <c r="BQ644" s="24"/>
      <c r="BR644" s="24"/>
      <c r="BS644" s="24"/>
      <c r="BT644" s="24"/>
      <c r="BU644" s="24"/>
      <c r="BV644" s="24"/>
      <c r="BW644" s="24"/>
      <c r="BX644" s="24"/>
      <c r="BY644" s="24"/>
      <c r="BZ644" s="24"/>
      <c r="CA644" s="24"/>
      <c r="CB644" s="24"/>
      <c r="CC644" s="24"/>
      <c r="CD644" s="24"/>
    </row>
    <row r="645" spans="2:82" ht="16.5" customHeight="1" x14ac:dyDescent="0.3">
      <c r="B645" s="26"/>
      <c r="C645" s="26"/>
      <c r="D645" s="26"/>
      <c r="E645" s="26"/>
      <c r="F645" s="26"/>
      <c r="G645" s="26"/>
      <c r="H645" s="24"/>
      <c r="I645" s="27"/>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c r="BA645" s="24"/>
      <c r="BB645" s="24"/>
      <c r="BC645" s="24"/>
      <c r="BD645" s="24"/>
      <c r="BE645" s="24"/>
      <c r="BF645" s="24"/>
      <c r="BG645" s="24"/>
      <c r="BH645" s="24"/>
      <c r="BI645" s="24"/>
      <c r="BJ645" s="24"/>
      <c r="BK645" s="24"/>
      <c r="BL645" s="24"/>
      <c r="BM645" s="24"/>
      <c r="BN645" s="24"/>
      <c r="BO645" s="24"/>
      <c r="BP645" s="24"/>
      <c r="BQ645" s="24"/>
      <c r="BR645" s="24"/>
      <c r="BS645" s="24"/>
      <c r="BT645" s="24"/>
      <c r="BU645" s="24"/>
      <c r="BV645" s="24"/>
      <c r="BW645" s="24"/>
      <c r="BX645" s="24"/>
      <c r="BY645" s="24"/>
      <c r="BZ645" s="24"/>
      <c r="CA645" s="24"/>
      <c r="CB645" s="24"/>
      <c r="CC645" s="24"/>
      <c r="CD645" s="24"/>
    </row>
    <row r="646" spans="2:82" ht="16.5" customHeight="1" x14ac:dyDescent="0.3">
      <c r="B646" s="26"/>
      <c r="C646" s="26"/>
      <c r="D646" s="26"/>
      <c r="E646" s="26"/>
      <c r="F646" s="26"/>
      <c r="G646" s="26"/>
      <c r="H646" s="24"/>
      <c r="I646" s="27"/>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c r="BA646" s="24"/>
      <c r="BB646" s="24"/>
      <c r="BC646" s="24"/>
      <c r="BD646" s="24"/>
      <c r="BE646" s="24"/>
      <c r="BF646" s="24"/>
      <c r="BG646" s="24"/>
      <c r="BH646" s="24"/>
      <c r="BI646" s="24"/>
      <c r="BJ646" s="24"/>
      <c r="BK646" s="24"/>
      <c r="BL646" s="24"/>
      <c r="BM646" s="24"/>
      <c r="BN646" s="24"/>
      <c r="BO646" s="24"/>
      <c r="BP646" s="24"/>
      <c r="BQ646" s="24"/>
      <c r="BR646" s="24"/>
      <c r="BS646" s="24"/>
      <c r="BT646" s="24"/>
      <c r="BU646" s="24"/>
      <c r="BV646" s="24"/>
      <c r="BW646" s="24"/>
      <c r="BX646" s="24"/>
      <c r="BY646" s="24"/>
      <c r="BZ646" s="24"/>
      <c r="CA646" s="24"/>
      <c r="CB646" s="24"/>
      <c r="CC646" s="24"/>
      <c r="CD646" s="24"/>
    </row>
    <row r="647" spans="2:82" ht="16.5" customHeight="1" x14ac:dyDescent="0.3">
      <c r="B647" s="26"/>
      <c r="C647" s="26"/>
      <c r="D647" s="26"/>
      <c r="E647" s="26"/>
      <c r="F647" s="26"/>
      <c r="G647" s="26"/>
      <c r="H647" s="24"/>
      <c r="I647" s="27"/>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c r="BA647" s="24"/>
      <c r="BB647" s="24"/>
      <c r="BC647" s="24"/>
      <c r="BD647" s="24"/>
      <c r="BE647" s="24"/>
      <c r="BF647" s="24"/>
      <c r="BG647" s="24"/>
      <c r="BH647" s="24"/>
      <c r="BI647" s="24"/>
      <c r="BJ647" s="24"/>
      <c r="BK647" s="24"/>
      <c r="BL647" s="24"/>
      <c r="BM647" s="24"/>
      <c r="BN647" s="24"/>
      <c r="BO647" s="24"/>
      <c r="BP647" s="24"/>
      <c r="BQ647" s="24"/>
      <c r="BR647" s="24"/>
      <c r="BS647" s="24"/>
      <c r="BT647" s="24"/>
      <c r="BU647" s="24"/>
      <c r="BV647" s="24"/>
      <c r="BW647" s="24"/>
      <c r="BX647" s="24"/>
      <c r="BY647" s="24"/>
      <c r="BZ647" s="24"/>
      <c r="CA647" s="24"/>
      <c r="CB647" s="24"/>
      <c r="CC647" s="24"/>
      <c r="CD647" s="24"/>
    </row>
    <row r="648" spans="2:82" ht="16.5" customHeight="1" x14ac:dyDescent="0.3">
      <c r="B648" s="26"/>
      <c r="C648" s="26"/>
      <c r="D648" s="26"/>
      <c r="E648" s="26"/>
      <c r="F648" s="26"/>
      <c r="G648" s="26"/>
      <c r="H648" s="24"/>
      <c r="I648" s="27"/>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c r="BA648" s="24"/>
      <c r="BB648" s="24"/>
      <c r="BC648" s="24"/>
      <c r="BD648" s="24"/>
      <c r="BE648" s="24"/>
      <c r="BF648" s="24"/>
      <c r="BG648" s="24"/>
      <c r="BH648" s="24"/>
      <c r="BI648" s="24"/>
      <c r="BJ648" s="24"/>
      <c r="BK648" s="24"/>
      <c r="BL648" s="24"/>
      <c r="BM648" s="24"/>
      <c r="BN648" s="24"/>
      <c r="BO648" s="24"/>
      <c r="BP648" s="24"/>
      <c r="BQ648" s="24"/>
      <c r="BR648" s="24"/>
      <c r="BS648" s="24"/>
      <c r="BT648" s="24"/>
      <c r="BU648" s="24"/>
      <c r="BV648" s="24"/>
      <c r="BW648" s="24"/>
      <c r="BX648" s="24"/>
      <c r="BY648" s="24"/>
      <c r="BZ648" s="24"/>
      <c r="CA648" s="24"/>
      <c r="CB648" s="24"/>
      <c r="CC648" s="24"/>
      <c r="CD648" s="24"/>
    </row>
    <row r="649" spans="2:82" ht="16.5" customHeight="1" x14ac:dyDescent="0.3">
      <c r="B649" s="26"/>
      <c r="C649" s="26"/>
      <c r="D649" s="26"/>
      <c r="E649" s="26"/>
      <c r="F649" s="26"/>
      <c r="G649" s="26"/>
      <c r="H649" s="24"/>
      <c r="I649" s="27"/>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c r="BA649" s="24"/>
      <c r="BB649" s="24"/>
      <c r="BC649" s="24"/>
      <c r="BD649" s="24"/>
      <c r="BE649" s="24"/>
      <c r="BF649" s="24"/>
      <c r="BG649" s="24"/>
      <c r="BH649" s="24"/>
      <c r="BI649" s="24"/>
      <c r="BJ649" s="24"/>
      <c r="BK649" s="24"/>
      <c r="BL649" s="24"/>
      <c r="BM649" s="24"/>
      <c r="BN649" s="24"/>
      <c r="BO649" s="24"/>
      <c r="BP649" s="24"/>
      <c r="BQ649" s="24"/>
      <c r="BR649" s="24"/>
      <c r="BS649" s="24"/>
      <c r="BT649" s="24"/>
      <c r="BU649" s="24"/>
      <c r="BV649" s="24"/>
      <c r="BW649" s="24"/>
      <c r="BX649" s="24"/>
      <c r="BY649" s="24"/>
      <c r="BZ649" s="24"/>
      <c r="CA649" s="24"/>
      <c r="CB649" s="24"/>
      <c r="CC649" s="24"/>
      <c r="CD649" s="24"/>
    </row>
    <row r="650" spans="2:82" ht="16.5" customHeight="1" x14ac:dyDescent="0.3">
      <c r="B650" s="26"/>
      <c r="C650" s="26"/>
      <c r="D650" s="26"/>
      <c r="E650" s="26"/>
      <c r="F650" s="26"/>
      <c r="G650" s="26"/>
      <c r="H650" s="24"/>
      <c r="I650" s="27"/>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c r="BA650" s="24"/>
      <c r="BB650" s="24"/>
      <c r="BC650" s="24"/>
      <c r="BD650" s="24"/>
      <c r="BE650" s="24"/>
      <c r="BF650" s="24"/>
      <c r="BG650" s="24"/>
      <c r="BH650" s="24"/>
      <c r="BI650" s="24"/>
      <c r="BJ650" s="24"/>
      <c r="BK650" s="24"/>
      <c r="BL650" s="24"/>
      <c r="BM650" s="24"/>
      <c r="BN650" s="24"/>
      <c r="BO650" s="24"/>
      <c r="BP650" s="24"/>
      <c r="BQ650" s="24"/>
      <c r="BR650" s="24"/>
      <c r="BS650" s="24"/>
      <c r="BT650" s="24"/>
      <c r="BU650" s="24"/>
      <c r="BV650" s="24"/>
      <c r="BW650" s="24"/>
      <c r="BX650" s="24"/>
      <c r="BY650" s="24"/>
      <c r="BZ650" s="24"/>
      <c r="CA650" s="24"/>
      <c r="CB650" s="24"/>
      <c r="CC650" s="24"/>
      <c r="CD650" s="24"/>
    </row>
    <row r="651" spans="2:82" ht="16.5" customHeight="1" x14ac:dyDescent="0.3">
      <c r="B651" s="26"/>
      <c r="C651" s="26"/>
      <c r="D651" s="26"/>
      <c r="E651" s="26"/>
      <c r="F651" s="26"/>
      <c r="G651" s="26"/>
      <c r="H651" s="24"/>
      <c r="I651" s="27"/>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c r="BF651" s="24"/>
      <c r="BG651" s="24"/>
      <c r="BH651" s="24"/>
      <c r="BI651" s="24"/>
      <c r="BJ651" s="24"/>
      <c r="BK651" s="24"/>
      <c r="BL651" s="24"/>
      <c r="BM651" s="24"/>
      <c r="BN651" s="24"/>
      <c r="BO651" s="24"/>
      <c r="BP651" s="24"/>
      <c r="BQ651" s="24"/>
      <c r="BR651" s="24"/>
      <c r="BS651" s="24"/>
      <c r="BT651" s="24"/>
      <c r="BU651" s="24"/>
      <c r="BV651" s="24"/>
      <c r="BW651" s="24"/>
      <c r="BX651" s="24"/>
      <c r="BY651" s="24"/>
      <c r="BZ651" s="24"/>
      <c r="CA651" s="24"/>
      <c r="CB651" s="24"/>
      <c r="CC651" s="24"/>
      <c r="CD651" s="24"/>
    </row>
    <row r="652" spans="2:82" ht="16.5" customHeight="1" x14ac:dyDescent="0.3">
      <c r="B652" s="26"/>
      <c r="C652" s="26"/>
      <c r="D652" s="26"/>
      <c r="E652" s="26"/>
      <c r="F652" s="26"/>
      <c r="G652" s="26"/>
      <c r="H652" s="24"/>
      <c r="I652" s="27"/>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c r="BA652" s="24"/>
      <c r="BB652" s="24"/>
      <c r="BC652" s="24"/>
      <c r="BD652" s="24"/>
      <c r="BE652" s="24"/>
      <c r="BF652" s="24"/>
      <c r="BG652" s="24"/>
      <c r="BH652" s="24"/>
      <c r="BI652" s="24"/>
      <c r="BJ652" s="24"/>
      <c r="BK652" s="24"/>
      <c r="BL652" s="24"/>
      <c r="BM652" s="24"/>
      <c r="BN652" s="24"/>
      <c r="BO652" s="24"/>
      <c r="BP652" s="24"/>
      <c r="BQ652" s="24"/>
      <c r="BR652" s="24"/>
      <c r="BS652" s="24"/>
      <c r="BT652" s="24"/>
      <c r="BU652" s="24"/>
      <c r="BV652" s="24"/>
      <c r="BW652" s="24"/>
      <c r="BX652" s="24"/>
      <c r="BY652" s="24"/>
      <c r="BZ652" s="24"/>
      <c r="CA652" s="24"/>
      <c r="CB652" s="24"/>
      <c r="CC652" s="24"/>
      <c r="CD652" s="24"/>
    </row>
    <row r="653" spans="2:82" ht="16.5" customHeight="1" x14ac:dyDescent="0.3">
      <c r="B653" s="26"/>
      <c r="C653" s="26"/>
      <c r="D653" s="26"/>
      <c r="E653" s="26"/>
      <c r="F653" s="26"/>
      <c r="G653" s="26"/>
      <c r="H653" s="24"/>
      <c r="I653" s="27"/>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c r="BA653" s="24"/>
      <c r="BB653" s="24"/>
      <c r="BC653" s="24"/>
      <c r="BD653" s="24"/>
      <c r="BE653" s="24"/>
      <c r="BF653" s="24"/>
      <c r="BG653" s="24"/>
      <c r="BH653" s="24"/>
      <c r="BI653" s="24"/>
      <c r="BJ653" s="24"/>
      <c r="BK653" s="24"/>
      <c r="BL653" s="24"/>
      <c r="BM653" s="24"/>
      <c r="BN653" s="24"/>
      <c r="BO653" s="24"/>
      <c r="BP653" s="24"/>
      <c r="BQ653" s="24"/>
      <c r="BR653" s="24"/>
      <c r="BS653" s="24"/>
      <c r="BT653" s="24"/>
      <c r="BU653" s="24"/>
      <c r="BV653" s="24"/>
      <c r="BW653" s="24"/>
      <c r="BX653" s="24"/>
      <c r="BY653" s="24"/>
      <c r="BZ653" s="24"/>
      <c r="CA653" s="24"/>
      <c r="CB653" s="24"/>
      <c r="CC653" s="24"/>
      <c r="CD653" s="24"/>
    </row>
    <row r="654" spans="2:82" ht="16.5" customHeight="1" x14ac:dyDescent="0.3">
      <c r="B654" s="26"/>
      <c r="C654" s="26"/>
      <c r="D654" s="26"/>
      <c r="E654" s="26"/>
      <c r="F654" s="26"/>
      <c r="G654" s="26"/>
      <c r="H654" s="24"/>
      <c r="I654" s="27"/>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c r="BA654" s="24"/>
      <c r="BB654" s="24"/>
      <c r="BC654" s="24"/>
      <c r="BD654" s="24"/>
      <c r="BE654" s="24"/>
      <c r="BF654" s="24"/>
      <c r="BG654" s="24"/>
      <c r="BH654" s="24"/>
      <c r="BI654" s="24"/>
      <c r="BJ654" s="24"/>
      <c r="BK654" s="24"/>
      <c r="BL654" s="24"/>
      <c r="BM654" s="24"/>
      <c r="BN654" s="24"/>
      <c r="BO654" s="24"/>
      <c r="BP654" s="24"/>
      <c r="BQ654" s="24"/>
      <c r="BR654" s="24"/>
      <c r="BS654" s="24"/>
      <c r="BT654" s="24"/>
      <c r="BU654" s="24"/>
      <c r="BV654" s="24"/>
      <c r="BW654" s="24"/>
      <c r="BX654" s="24"/>
      <c r="BY654" s="24"/>
      <c r="BZ654" s="24"/>
      <c r="CA654" s="24"/>
      <c r="CB654" s="24"/>
      <c r="CC654" s="24"/>
      <c r="CD654" s="24"/>
    </row>
    <row r="655" spans="2:82" ht="16.5" customHeight="1" x14ac:dyDescent="0.3">
      <c r="B655" s="26"/>
      <c r="C655" s="26"/>
      <c r="D655" s="26"/>
      <c r="E655" s="26"/>
      <c r="F655" s="26"/>
      <c r="G655" s="26"/>
      <c r="H655" s="24"/>
      <c r="I655" s="27"/>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c r="BA655" s="24"/>
      <c r="BB655" s="24"/>
      <c r="BC655" s="24"/>
      <c r="BD655" s="24"/>
      <c r="BE655" s="24"/>
      <c r="BF655" s="24"/>
      <c r="BG655" s="24"/>
      <c r="BH655" s="24"/>
      <c r="BI655" s="24"/>
      <c r="BJ655" s="24"/>
      <c r="BK655" s="24"/>
      <c r="BL655" s="24"/>
      <c r="BM655" s="24"/>
      <c r="BN655" s="24"/>
      <c r="BO655" s="24"/>
      <c r="BP655" s="24"/>
      <c r="BQ655" s="24"/>
      <c r="BR655" s="24"/>
      <c r="BS655" s="24"/>
      <c r="BT655" s="24"/>
      <c r="BU655" s="24"/>
      <c r="BV655" s="24"/>
      <c r="BW655" s="24"/>
      <c r="BX655" s="24"/>
      <c r="BY655" s="24"/>
      <c r="BZ655" s="24"/>
      <c r="CA655" s="24"/>
      <c r="CB655" s="24"/>
      <c r="CC655" s="24"/>
      <c r="CD655" s="24"/>
    </row>
    <row r="656" spans="2:82" ht="16.5" customHeight="1" x14ac:dyDescent="0.3">
      <c r="B656" s="26"/>
      <c r="C656" s="26"/>
      <c r="D656" s="26"/>
      <c r="E656" s="26"/>
      <c r="F656" s="26"/>
      <c r="G656" s="26"/>
      <c r="H656" s="24"/>
      <c r="I656" s="27"/>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c r="BA656" s="24"/>
      <c r="BB656" s="24"/>
      <c r="BC656" s="24"/>
      <c r="BD656" s="24"/>
      <c r="BE656" s="24"/>
      <c r="BF656" s="24"/>
      <c r="BG656" s="24"/>
      <c r="BH656" s="24"/>
      <c r="BI656" s="24"/>
      <c r="BJ656" s="24"/>
      <c r="BK656" s="24"/>
      <c r="BL656" s="24"/>
      <c r="BM656" s="24"/>
      <c r="BN656" s="24"/>
      <c r="BO656" s="24"/>
      <c r="BP656" s="24"/>
      <c r="BQ656" s="24"/>
      <c r="BR656" s="24"/>
      <c r="BS656" s="24"/>
      <c r="BT656" s="24"/>
      <c r="BU656" s="24"/>
      <c r="BV656" s="24"/>
      <c r="BW656" s="24"/>
      <c r="BX656" s="24"/>
      <c r="BY656" s="24"/>
      <c r="BZ656" s="24"/>
      <c r="CA656" s="24"/>
      <c r="CB656" s="24"/>
      <c r="CC656" s="24"/>
      <c r="CD656" s="24"/>
    </row>
    <row r="657" spans="2:82" ht="16.5" customHeight="1" x14ac:dyDescent="0.3">
      <c r="B657" s="26"/>
      <c r="C657" s="26"/>
      <c r="D657" s="26"/>
      <c r="E657" s="26"/>
      <c r="F657" s="26"/>
      <c r="G657" s="26"/>
      <c r="H657" s="24"/>
      <c r="I657" s="27"/>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c r="BA657" s="24"/>
      <c r="BB657" s="24"/>
      <c r="BC657" s="24"/>
      <c r="BD657" s="24"/>
      <c r="BE657" s="24"/>
      <c r="BF657" s="24"/>
      <c r="BG657" s="24"/>
      <c r="BH657" s="24"/>
      <c r="BI657" s="24"/>
      <c r="BJ657" s="24"/>
      <c r="BK657" s="24"/>
      <c r="BL657" s="24"/>
      <c r="BM657" s="24"/>
      <c r="BN657" s="24"/>
      <c r="BO657" s="24"/>
      <c r="BP657" s="24"/>
      <c r="BQ657" s="24"/>
      <c r="BR657" s="24"/>
      <c r="BS657" s="24"/>
      <c r="BT657" s="24"/>
      <c r="BU657" s="24"/>
      <c r="BV657" s="24"/>
      <c r="BW657" s="24"/>
      <c r="BX657" s="24"/>
      <c r="BY657" s="24"/>
      <c r="BZ657" s="24"/>
      <c r="CA657" s="24"/>
      <c r="CB657" s="24"/>
      <c r="CC657" s="24"/>
      <c r="CD657" s="24"/>
    </row>
    <row r="658" spans="2:82" ht="16.5" customHeight="1" x14ac:dyDescent="0.3">
      <c r="B658" s="26"/>
      <c r="C658" s="26"/>
      <c r="D658" s="26"/>
      <c r="E658" s="26"/>
      <c r="F658" s="26"/>
      <c r="G658" s="26"/>
      <c r="H658" s="24"/>
      <c r="I658" s="27"/>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c r="BA658" s="24"/>
      <c r="BB658" s="24"/>
      <c r="BC658" s="24"/>
      <c r="BD658" s="24"/>
      <c r="BE658" s="24"/>
      <c r="BF658" s="24"/>
      <c r="BG658" s="24"/>
      <c r="BH658" s="24"/>
      <c r="BI658" s="24"/>
      <c r="BJ658" s="24"/>
      <c r="BK658" s="24"/>
      <c r="BL658" s="24"/>
      <c r="BM658" s="24"/>
      <c r="BN658" s="24"/>
      <c r="BO658" s="24"/>
      <c r="BP658" s="24"/>
      <c r="BQ658" s="24"/>
      <c r="BR658" s="24"/>
      <c r="BS658" s="24"/>
      <c r="BT658" s="24"/>
      <c r="BU658" s="24"/>
      <c r="BV658" s="24"/>
      <c r="BW658" s="24"/>
      <c r="BX658" s="24"/>
      <c r="BY658" s="24"/>
      <c r="BZ658" s="24"/>
      <c r="CA658" s="24"/>
      <c r="CB658" s="24"/>
      <c r="CC658" s="24"/>
      <c r="CD658" s="24"/>
    </row>
    <row r="659" spans="2:82" ht="16.5" customHeight="1" x14ac:dyDescent="0.3">
      <c r="B659" s="26"/>
      <c r="C659" s="26"/>
      <c r="D659" s="26"/>
      <c r="E659" s="26"/>
      <c r="F659" s="26"/>
      <c r="G659" s="26"/>
      <c r="H659" s="24"/>
      <c r="I659" s="27"/>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c r="BA659" s="24"/>
      <c r="BB659" s="24"/>
      <c r="BC659" s="24"/>
      <c r="BD659" s="24"/>
      <c r="BE659" s="24"/>
      <c r="BF659" s="24"/>
      <c r="BG659" s="24"/>
      <c r="BH659" s="24"/>
      <c r="BI659" s="24"/>
      <c r="BJ659" s="24"/>
      <c r="BK659" s="24"/>
      <c r="BL659" s="24"/>
      <c r="BM659" s="24"/>
      <c r="BN659" s="24"/>
      <c r="BO659" s="24"/>
      <c r="BP659" s="24"/>
      <c r="BQ659" s="24"/>
      <c r="BR659" s="24"/>
      <c r="BS659" s="24"/>
      <c r="BT659" s="24"/>
      <c r="BU659" s="24"/>
      <c r="BV659" s="24"/>
      <c r="BW659" s="24"/>
      <c r="BX659" s="24"/>
      <c r="BY659" s="24"/>
      <c r="BZ659" s="24"/>
      <c r="CA659" s="24"/>
      <c r="CB659" s="24"/>
      <c r="CC659" s="24"/>
      <c r="CD659" s="24"/>
    </row>
    <row r="660" spans="2:82" ht="16.5" customHeight="1" x14ac:dyDescent="0.3">
      <c r="B660" s="26"/>
      <c r="C660" s="26"/>
      <c r="D660" s="26"/>
      <c r="E660" s="26"/>
      <c r="F660" s="26"/>
      <c r="G660" s="26"/>
      <c r="H660" s="24"/>
      <c r="I660" s="27"/>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c r="BA660" s="24"/>
      <c r="BB660" s="24"/>
      <c r="BC660" s="24"/>
      <c r="BD660" s="24"/>
      <c r="BE660" s="24"/>
      <c r="BF660" s="24"/>
      <c r="BG660" s="24"/>
      <c r="BH660" s="24"/>
      <c r="BI660" s="24"/>
      <c r="BJ660" s="24"/>
      <c r="BK660" s="24"/>
      <c r="BL660" s="24"/>
      <c r="BM660" s="24"/>
      <c r="BN660" s="24"/>
      <c r="BO660" s="24"/>
      <c r="BP660" s="24"/>
      <c r="BQ660" s="24"/>
      <c r="BR660" s="24"/>
      <c r="BS660" s="24"/>
      <c r="BT660" s="24"/>
      <c r="BU660" s="24"/>
      <c r="BV660" s="24"/>
      <c r="BW660" s="24"/>
      <c r="BX660" s="24"/>
      <c r="BY660" s="24"/>
      <c r="BZ660" s="24"/>
      <c r="CA660" s="24"/>
      <c r="CB660" s="24"/>
      <c r="CC660" s="24"/>
      <c r="CD660" s="24"/>
    </row>
    <row r="661" spans="2:82" ht="16.5" customHeight="1" x14ac:dyDescent="0.3">
      <c r="B661" s="26"/>
      <c r="C661" s="26"/>
      <c r="D661" s="26"/>
      <c r="E661" s="26"/>
      <c r="F661" s="26"/>
      <c r="G661" s="26"/>
      <c r="H661" s="24"/>
      <c r="I661" s="27"/>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c r="BA661" s="24"/>
      <c r="BB661" s="24"/>
      <c r="BC661" s="24"/>
      <c r="BD661" s="24"/>
      <c r="BE661" s="24"/>
      <c r="BF661" s="24"/>
      <c r="BG661" s="24"/>
      <c r="BH661" s="24"/>
      <c r="BI661" s="24"/>
      <c r="BJ661" s="24"/>
      <c r="BK661" s="24"/>
      <c r="BL661" s="24"/>
      <c r="BM661" s="24"/>
      <c r="BN661" s="24"/>
      <c r="BO661" s="24"/>
      <c r="BP661" s="24"/>
      <c r="BQ661" s="24"/>
      <c r="BR661" s="24"/>
      <c r="BS661" s="24"/>
      <c r="BT661" s="24"/>
      <c r="BU661" s="24"/>
      <c r="BV661" s="24"/>
      <c r="BW661" s="24"/>
      <c r="BX661" s="24"/>
      <c r="BY661" s="24"/>
      <c r="BZ661" s="24"/>
      <c r="CA661" s="24"/>
      <c r="CB661" s="24"/>
      <c r="CC661" s="24"/>
      <c r="CD661" s="24"/>
    </row>
    <row r="662" spans="2:82" ht="16.5" customHeight="1" x14ac:dyDescent="0.3">
      <c r="B662" s="26"/>
      <c r="C662" s="26"/>
      <c r="D662" s="26"/>
      <c r="E662" s="26"/>
      <c r="F662" s="26"/>
      <c r="G662" s="26"/>
      <c r="H662" s="24"/>
      <c r="I662" s="27"/>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c r="BA662" s="24"/>
      <c r="BB662" s="24"/>
      <c r="BC662" s="24"/>
      <c r="BD662" s="24"/>
      <c r="BE662" s="24"/>
      <c r="BF662" s="24"/>
      <c r="BG662" s="24"/>
      <c r="BH662" s="24"/>
      <c r="BI662" s="24"/>
      <c r="BJ662" s="24"/>
      <c r="BK662" s="24"/>
      <c r="BL662" s="24"/>
      <c r="BM662" s="24"/>
      <c r="BN662" s="24"/>
      <c r="BO662" s="24"/>
      <c r="BP662" s="24"/>
      <c r="BQ662" s="24"/>
      <c r="BR662" s="24"/>
      <c r="BS662" s="24"/>
      <c r="BT662" s="24"/>
      <c r="BU662" s="24"/>
      <c r="BV662" s="24"/>
      <c r="BW662" s="24"/>
      <c r="BX662" s="24"/>
      <c r="BY662" s="24"/>
      <c r="BZ662" s="24"/>
      <c r="CA662" s="24"/>
      <c r="CB662" s="24"/>
      <c r="CC662" s="24"/>
      <c r="CD662" s="24"/>
    </row>
    <row r="663" spans="2:82" ht="16.5" customHeight="1" x14ac:dyDescent="0.3">
      <c r="B663" s="26"/>
      <c r="C663" s="26"/>
      <c r="D663" s="26"/>
      <c r="E663" s="26"/>
      <c r="F663" s="26"/>
      <c r="G663" s="26"/>
      <c r="H663" s="24"/>
      <c r="I663" s="27"/>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c r="BC663" s="24"/>
      <c r="BD663" s="24"/>
      <c r="BE663" s="24"/>
      <c r="BF663" s="24"/>
      <c r="BG663" s="24"/>
      <c r="BH663" s="24"/>
      <c r="BI663" s="24"/>
      <c r="BJ663" s="24"/>
      <c r="BK663" s="24"/>
      <c r="BL663" s="24"/>
      <c r="BM663" s="24"/>
      <c r="BN663" s="24"/>
      <c r="BO663" s="24"/>
      <c r="BP663" s="24"/>
      <c r="BQ663" s="24"/>
      <c r="BR663" s="24"/>
      <c r="BS663" s="24"/>
      <c r="BT663" s="24"/>
      <c r="BU663" s="24"/>
      <c r="BV663" s="24"/>
      <c r="BW663" s="24"/>
      <c r="BX663" s="24"/>
      <c r="BY663" s="24"/>
      <c r="BZ663" s="24"/>
      <c r="CA663" s="24"/>
      <c r="CB663" s="24"/>
      <c r="CC663" s="24"/>
      <c r="CD663" s="24"/>
    </row>
    <row r="664" spans="2:82" ht="16.5" customHeight="1" x14ac:dyDescent="0.3">
      <c r="B664" s="26"/>
      <c r="C664" s="26"/>
      <c r="D664" s="26"/>
      <c r="E664" s="26"/>
      <c r="F664" s="26"/>
      <c r="G664" s="26"/>
      <c r="H664" s="24"/>
      <c r="I664" s="27"/>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c r="BA664" s="24"/>
      <c r="BB664" s="24"/>
      <c r="BC664" s="24"/>
      <c r="BD664" s="24"/>
      <c r="BE664" s="24"/>
      <c r="BF664" s="24"/>
      <c r="BG664" s="24"/>
      <c r="BH664" s="24"/>
      <c r="BI664" s="24"/>
      <c r="BJ664" s="24"/>
      <c r="BK664" s="24"/>
      <c r="BL664" s="24"/>
      <c r="BM664" s="24"/>
      <c r="BN664" s="24"/>
      <c r="BO664" s="24"/>
      <c r="BP664" s="24"/>
      <c r="BQ664" s="24"/>
      <c r="BR664" s="24"/>
      <c r="BS664" s="24"/>
      <c r="BT664" s="24"/>
      <c r="BU664" s="24"/>
      <c r="BV664" s="24"/>
      <c r="BW664" s="24"/>
      <c r="BX664" s="24"/>
      <c r="BY664" s="24"/>
      <c r="BZ664" s="24"/>
      <c r="CA664" s="24"/>
      <c r="CB664" s="24"/>
      <c r="CC664" s="24"/>
      <c r="CD664" s="24"/>
    </row>
    <row r="665" spans="2:82" ht="16.5" customHeight="1" x14ac:dyDescent="0.3">
      <c r="B665" s="26"/>
      <c r="C665" s="26"/>
      <c r="D665" s="26"/>
      <c r="E665" s="26"/>
      <c r="F665" s="26"/>
      <c r="G665" s="26"/>
      <c r="H665" s="24"/>
      <c r="I665" s="27"/>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c r="BC665" s="24"/>
      <c r="BD665" s="24"/>
      <c r="BE665" s="24"/>
      <c r="BF665" s="24"/>
      <c r="BG665" s="24"/>
      <c r="BH665" s="24"/>
      <c r="BI665" s="24"/>
      <c r="BJ665" s="24"/>
      <c r="BK665" s="24"/>
      <c r="BL665" s="24"/>
      <c r="BM665" s="24"/>
      <c r="BN665" s="24"/>
      <c r="BO665" s="24"/>
      <c r="BP665" s="24"/>
      <c r="BQ665" s="24"/>
      <c r="BR665" s="24"/>
      <c r="BS665" s="24"/>
      <c r="BT665" s="24"/>
      <c r="BU665" s="24"/>
      <c r="BV665" s="24"/>
      <c r="BW665" s="24"/>
      <c r="BX665" s="24"/>
      <c r="BY665" s="24"/>
      <c r="BZ665" s="24"/>
      <c r="CA665" s="24"/>
      <c r="CB665" s="24"/>
      <c r="CC665" s="24"/>
      <c r="CD665" s="24"/>
    </row>
    <row r="666" spans="2:82" ht="16.5" customHeight="1" x14ac:dyDescent="0.3">
      <c r="B666" s="26"/>
      <c r="C666" s="26"/>
      <c r="D666" s="26"/>
      <c r="E666" s="26"/>
      <c r="F666" s="26"/>
      <c r="G666" s="26"/>
      <c r="H666" s="24"/>
      <c r="I666" s="27"/>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c r="BC666" s="24"/>
      <c r="BD666" s="24"/>
      <c r="BE666" s="24"/>
      <c r="BF666" s="24"/>
      <c r="BG666" s="24"/>
      <c r="BH666" s="24"/>
      <c r="BI666" s="24"/>
      <c r="BJ666" s="24"/>
      <c r="BK666" s="24"/>
      <c r="BL666" s="24"/>
      <c r="BM666" s="24"/>
      <c r="BN666" s="24"/>
      <c r="BO666" s="24"/>
      <c r="BP666" s="24"/>
      <c r="BQ666" s="24"/>
      <c r="BR666" s="24"/>
      <c r="BS666" s="24"/>
      <c r="BT666" s="24"/>
      <c r="BU666" s="24"/>
      <c r="BV666" s="24"/>
      <c r="BW666" s="24"/>
      <c r="BX666" s="24"/>
      <c r="BY666" s="24"/>
      <c r="BZ666" s="24"/>
      <c r="CA666" s="24"/>
      <c r="CB666" s="24"/>
      <c r="CC666" s="24"/>
      <c r="CD666" s="24"/>
    </row>
    <row r="667" spans="2:82" ht="16.5" customHeight="1" x14ac:dyDescent="0.3">
      <c r="B667" s="26"/>
      <c r="C667" s="26"/>
      <c r="D667" s="26"/>
      <c r="E667" s="26"/>
      <c r="F667" s="26"/>
      <c r="G667" s="26"/>
      <c r="H667" s="24"/>
      <c r="I667" s="27"/>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C667" s="24"/>
      <c r="BD667" s="24"/>
      <c r="BE667" s="24"/>
      <c r="BF667" s="24"/>
      <c r="BG667" s="24"/>
      <c r="BH667" s="24"/>
      <c r="BI667" s="24"/>
      <c r="BJ667" s="24"/>
      <c r="BK667" s="24"/>
      <c r="BL667" s="24"/>
      <c r="BM667" s="24"/>
      <c r="BN667" s="24"/>
      <c r="BO667" s="24"/>
      <c r="BP667" s="24"/>
      <c r="BQ667" s="24"/>
      <c r="BR667" s="24"/>
      <c r="BS667" s="24"/>
      <c r="BT667" s="24"/>
      <c r="BU667" s="24"/>
      <c r="BV667" s="24"/>
      <c r="BW667" s="24"/>
      <c r="BX667" s="24"/>
      <c r="BY667" s="24"/>
      <c r="BZ667" s="24"/>
      <c r="CA667" s="24"/>
      <c r="CB667" s="24"/>
      <c r="CC667" s="24"/>
      <c r="CD667" s="24"/>
    </row>
    <row r="668" spans="2:82" ht="16.5" customHeight="1" x14ac:dyDescent="0.3">
      <c r="B668" s="26"/>
      <c r="C668" s="26"/>
      <c r="D668" s="26"/>
      <c r="E668" s="26"/>
      <c r="F668" s="26"/>
      <c r="G668" s="26"/>
      <c r="H668" s="24"/>
      <c r="I668" s="27"/>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c r="BC668" s="24"/>
      <c r="BD668" s="24"/>
      <c r="BE668" s="24"/>
      <c r="BF668" s="24"/>
      <c r="BG668" s="24"/>
      <c r="BH668" s="24"/>
      <c r="BI668" s="24"/>
      <c r="BJ668" s="24"/>
      <c r="BK668" s="24"/>
      <c r="BL668" s="24"/>
      <c r="BM668" s="24"/>
      <c r="BN668" s="24"/>
      <c r="BO668" s="24"/>
      <c r="BP668" s="24"/>
      <c r="BQ668" s="24"/>
      <c r="BR668" s="24"/>
      <c r="BS668" s="24"/>
      <c r="BT668" s="24"/>
      <c r="BU668" s="24"/>
      <c r="BV668" s="24"/>
      <c r="BW668" s="24"/>
      <c r="BX668" s="24"/>
      <c r="BY668" s="24"/>
      <c r="BZ668" s="24"/>
      <c r="CA668" s="24"/>
      <c r="CB668" s="24"/>
      <c r="CC668" s="24"/>
      <c r="CD668" s="24"/>
    </row>
    <row r="669" spans="2:82" ht="16.5" customHeight="1" x14ac:dyDescent="0.3">
      <c r="B669" s="26"/>
      <c r="C669" s="26"/>
      <c r="D669" s="26"/>
      <c r="E669" s="26"/>
      <c r="F669" s="26"/>
      <c r="G669" s="26"/>
      <c r="H669" s="24"/>
      <c r="I669" s="27"/>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c r="BC669" s="24"/>
      <c r="BD669" s="24"/>
      <c r="BE669" s="24"/>
      <c r="BF669" s="24"/>
      <c r="BG669" s="24"/>
      <c r="BH669" s="24"/>
      <c r="BI669" s="24"/>
      <c r="BJ669" s="24"/>
      <c r="BK669" s="24"/>
      <c r="BL669" s="24"/>
      <c r="BM669" s="24"/>
      <c r="BN669" s="24"/>
      <c r="BO669" s="24"/>
      <c r="BP669" s="24"/>
      <c r="BQ669" s="24"/>
      <c r="BR669" s="24"/>
      <c r="BS669" s="24"/>
      <c r="BT669" s="24"/>
      <c r="BU669" s="24"/>
      <c r="BV669" s="24"/>
      <c r="BW669" s="24"/>
      <c r="BX669" s="24"/>
      <c r="BY669" s="24"/>
      <c r="BZ669" s="24"/>
      <c r="CA669" s="24"/>
      <c r="CB669" s="24"/>
      <c r="CC669" s="24"/>
      <c r="CD669" s="24"/>
    </row>
    <row r="670" spans="2:82" ht="16.5" customHeight="1" x14ac:dyDescent="0.3">
      <c r="B670" s="26"/>
      <c r="C670" s="26"/>
      <c r="D670" s="26"/>
      <c r="E670" s="26"/>
      <c r="F670" s="26"/>
      <c r="G670" s="26"/>
      <c r="H670" s="24"/>
      <c r="I670" s="27"/>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c r="BC670" s="24"/>
      <c r="BD670" s="24"/>
      <c r="BE670" s="24"/>
      <c r="BF670" s="24"/>
      <c r="BG670" s="24"/>
      <c r="BH670" s="24"/>
      <c r="BI670" s="24"/>
      <c r="BJ670" s="24"/>
      <c r="BK670" s="24"/>
      <c r="BL670" s="24"/>
      <c r="BM670" s="24"/>
      <c r="BN670" s="24"/>
      <c r="BO670" s="24"/>
      <c r="BP670" s="24"/>
      <c r="BQ670" s="24"/>
      <c r="BR670" s="24"/>
      <c r="BS670" s="24"/>
      <c r="BT670" s="24"/>
      <c r="BU670" s="24"/>
      <c r="BV670" s="24"/>
      <c r="BW670" s="24"/>
      <c r="BX670" s="24"/>
      <c r="BY670" s="24"/>
      <c r="BZ670" s="24"/>
      <c r="CA670" s="24"/>
      <c r="CB670" s="24"/>
      <c r="CC670" s="24"/>
      <c r="CD670" s="24"/>
    </row>
    <row r="671" spans="2:82" ht="16.5" customHeight="1" x14ac:dyDescent="0.3">
      <c r="B671" s="26"/>
      <c r="C671" s="26"/>
      <c r="D671" s="26"/>
      <c r="E671" s="26"/>
      <c r="F671" s="26"/>
      <c r="G671" s="26"/>
      <c r="H671" s="24"/>
      <c r="I671" s="27"/>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c r="BC671" s="24"/>
      <c r="BD671" s="24"/>
      <c r="BE671" s="24"/>
      <c r="BF671" s="24"/>
      <c r="BG671" s="24"/>
      <c r="BH671" s="24"/>
      <c r="BI671" s="24"/>
      <c r="BJ671" s="24"/>
      <c r="BK671" s="24"/>
      <c r="BL671" s="24"/>
      <c r="BM671" s="24"/>
      <c r="BN671" s="24"/>
      <c r="BO671" s="24"/>
      <c r="BP671" s="24"/>
      <c r="BQ671" s="24"/>
      <c r="BR671" s="24"/>
      <c r="BS671" s="24"/>
      <c r="BT671" s="24"/>
      <c r="BU671" s="24"/>
      <c r="BV671" s="24"/>
      <c r="BW671" s="24"/>
      <c r="BX671" s="24"/>
      <c r="BY671" s="24"/>
      <c r="BZ671" s="24"/>
      <c r="CA671" s="24"/>
      <c r="CB671" s="24"/>
      <c r="CC671" s="24"/>
      <c r="CD671" s="24"/>
    </row>
    <row r="672" spans="2:82" ht="16.5" customHeight="1" x14ac:dyDescent="0.3">
      <c r="B672" s="26"/>
      <c r="C672" s="26"/>
      <c r="D672" s="26"/>
      <c r="E672" s="26"/>
      <c r="F672" s="26"/>
      <c r="G672" s="26"/>
      <c r="H672" s="24"/>
      <c r="I672" s="27"/>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c r="BC672" s="24"/>
      <c r="BD672" s="24"/>
      <c r="BE672" s="24"/>
      <c r="BF672" s="24"/>
      <c r="BG672" s="24"/>
      <c r="BH672" s="24"/>
      <c r="BI672" s="24"/>
      <c r="BJ672" s="24"/>
      <c r="BK672" s="24"/>
      <c r="BL672" s="24"/>
      <c r="BM672" s="24"/>
      <c r="BN672" s="24"/>
      <c r="BO672" s="24"/>
      <c r="BP672" s="24"/>
      <c r="BQ672" s="24"/>
      <c r="BR672" s="24"/>
      <c r="BS672" s="24"/>
      <c r="BT672" s="24"/>
      <c r="BU672" s="24"/>
      <c r="BV672" s="24"/>
      <c r="BW672" s="24"/>
      <c r="BX672" s="24"/>
      <c r="BY672" s="24"/>
      <c r="BZ672" s="24"/>
      <c r="CA672" s="24"/>
      <c r="CB672" s="24"/>
      <c r="CC672" s="24"/>
      <c r="CD672" s="24"/>
    </row>
    <row r="673" spans="2:82" ht="16.5" customHeight="1" x14ac:dyDescent="0.3">
      <c r="B673" s="26"/>
      <c r="C673" s="26"/>
      <c r="D673" s="26"/>
      <c r="E673" s="26"/>
      <c r="F673" s="26"/>
      <c r="G673" s="26"/>
      <c r="H673" s="24"/>
      <c r="I673" s="27"/>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c r="BC673" s="24"/>
      <c r="BD673" s="24"/>
      <c r="BE673" s="24"/>
      <c r="BF673" s="24"/>
      <c r="BG673" s="24"/>
      <c r="BH673" s="24"/>
      <c r="BI673" s="24"/>
      <c r="BJ673" s="24"/>
      <c r="BK673" s="24"/>
      <c r="BL673" s="24"/>
      <c r="BM673" s="24"/>
      <c r="BN673" s="24"/>
      <c r="BO673" s="24"/>
      <c r="BP673" s="24"/>
      <c r="BQ673" s="24"/>
      <c r="BR673" s="24"/>
      <c r="BS673" s="24"/>
      <c r="BT673" s="24"/>
      <c r="BU673" s="24"/>
      <c r="BV673" s="24"/>
      <c r="BW673" s="24"/>
      <c r="BX673" s="24"/>
      <c r="BY673" s="24"/>
      <c r="BZ673" s="24"/>
      <c r="CA673" s="24"/>
      <c r="CB673" s="24"/>
      <c r="CC673" s="24"/>
      <c r="CD673" s="24"/>
    </row>
    <row r="674" spans="2:82" ht="16.5" customHeight="1" x14ac:dyDescent="0.3">
      <c r="B674" s="26"/>
      <c r="C674" s="26"/>
      <c r="D674" s="26"/>
      <c r="E674" s="26"/>
      <c r="F674" s="26"/>
      <c r="G674" s="26"/>
      <c r="H674" s="24"/>
      <c r="I674" s="27"/>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c r="BC674" s="24"/>
      <c r="BD674" s="24"/>
      <c r="BE674" s="24"/>
      <c r="BF674" s="24"/>
      <c r="BG674" s="24"/>
      <c r="BH674" s="24"/>
      <c r="BI674" s="24"/>
      <c r="BJ674" s="24"/>
      <c r="BK674" s="24"/>
      <c r="BL674" s="24"/>
      <c r="BM674" s="24"/>
      <c r="BN674" s="24"/>
      <c r="BO674" s="24"/>
      <c r="BP674" s="24"/>
      <c r="BQ674" s="24"/>
      <c r="BR674" s="24"/>
      <c r="BS674" s="24"/>
      <c r="BT674" s="24"/>
      <c r="BU674" s="24"/>
      <c r="BV674" s="24"/>
      <c r="BW674" s="24"/>
      <c r="BX674" s="24"/>
      <c r="BY674" s="24"/>
      <c r="BZ674" s="24"/>
      <c r="CA674" s="24"/>
      <c r="CB674" s="24"/>
      <c r="CC674" s="24"/>
      <c r="CD674" s="24"/>
    </row>
    <row r="675" spans="2:82" ht="16.5" customHeight="1" x14ac:dyDescent="0.3">
      <c r="B675" s="26"/>
      <c r="C675" s="26"/>
      <c r="D675" s="26"/>
      <c r="E675" s="26"/>
      <c r="F675" s="26"/>
      <c r="G675" s="26"/>
      <c r="H675" s="24"/>
      <c r="I675" s="27"/>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c r="BC675" s="24"/>
      <c r="BD675" s="24"/>
      <c r="BE675" s="24"/>
      <c r="BF675" s="24"/>
      <c r="BG675" s="24"/>
      <c r="BH675" s="24"/>
      <c r="BI675" s="24"/>
      <c r="BJ675" s="24"/>
      <c r="BK675" s="24"/>
      <c r="BL675" s="24"/>
      <c r="BM675" s="24"/>
      <c r="BN675" s="24"/>
      <c r="BO675" s="24"/>
      <c r="BP675" s="24"/>
      <c r="BQ675" s="24"/>
      <c r="BR675" s="24"/>
      <c r="BS675" s="24"/>
      <c r="BT675" s="24"/>
      <c r="BU675" s="24"/>
      <c r="BV675" s="24"/>
      <c r="BW675" s="24"/>
      <c r="BX675" s="24"/>
      <c r="BY675" s="24"/>
      <c r="BZ675" s="24"/>
      <c r="CA675" s="24"/>
      <c r="CB675" s="24"/>
      <c r="CC675" s="24"/>
      <c r="CD675" s="24"/>
    </row>
    <row r="676" spans="2:82" ht="16.5" customHeight="1" x14ac:dyDescent="0.3">
      <c r="B676" s="26"/>
      <c r="C676" s="26"/>
      <c r="D676" s="26"/>
      <c r="E676" s="26"/>
      <c r="F676" s="26"/>
      <c r="G676" s="26"/>
      <c r="H676" s="24"/>
      <c r="I676" s="27"/>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c r="BC676" s="24"/>
      <c r="BD676" s="24"/>
      <c r="BE676" s="24"/>
      <c r="BF676" s="24"/>
      <c r="BG676" s="24"/>
      <c r="BH676" s="24"/>
      <c r="BI676" s="24"/>
      <c r="BJ676" s="24"/>
      <c r="BK676" s="24"/>
      <c r="BL676" s="24"/>
      <c r="BM676" s="24"/>
      <c r="BN676" s="24"/>
      <c r="BO676" s="24"/>
      <c r="BP676" s="24"/>
      <c r="BQ676" s="24"/>
      <c r="BR676" s="24"/>
      <c r="BS676" s="24"/>
      <c r="BT676" s="24"/>
      <c r="BU676" s="24"/>
      <c r="BV676" s="24"/>
      <c r="BW676" s="24"/>
      <c r="BX676" s="24"/>
      <c r="BY676" s="24"/>
      <c r="BZ676" s="24"/>
      <c r="CA676" s="24"/>
      <c r="CB676" s="24"/>
      <c r="CC676" s="24"/>
      <c r="CD676" s="24"/>
    </row>
    <row r="677" spans="2:82" ht="16.5" customHeight="1" x14ac:dyDescent="0.3">
      <c r="B677" s="26"/>
      <c r="C677" s="26"/>
      <c r="D677" s="26"/>
      <c r="E677" s="26"/>
      <c r="F677" s="26"/>
      <c r="G677" s="26"/>
      <c r="H677" s="24"/>
      <c r="I677" s="27"/>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c r="BC677" s="24"/>
      <c r="BD677" s="24"/>
      <c r="BE677" s="24"/>
      <c r="BF677" s="24"/>
      <c r="BG677" s="24"/>
      <c r="BH677" s="24"/>
      <c r="BI677" s="24"/>
      <c r="BJ677" s="24"/>
      <c r="BK677" s="24"/>
      <c r="BL677" s="24"/>
      <c r="BM677" s="24"/>
      <c r="BN677" s="24"/>
      <c r="BO677" s="24"/>
      <c r="BP677" s="24"/>
      <c r="BQ677" s="24"/>
      <c r="BR677" s="24"/>
      <c r="BS677" s="24"/>
      <c r="BT677" s="24"/>
      <c r="BU677" s="24"/>
      <c r="BV677" s="24"/>
      <c r="BW677" s="24"/>
      <c r="BX677" s="24"/>
      <c r="BY677" s="24"/>
      <c r="BZ677" s="24"/>
      <c r="CA677" s="24"/>
      <c r="CB677" s="24"/>
      <c r="CC677" s="24"/>
      <c r="CD677" s="24"/>
    </row>
    <row r="678" spans="2:82" ht="16.5" customHeight="1" x14ac:dyDescent="0.3">
      <c r="B678" s="26"/>
      <c r="C678" s="26"/>
      <c r="D678" s="26"/>
      <c r="E678" s="26"/>
      <c r="F678" s="26"/>
      <c r="G678" s="26"/>
      <c r="H678" s="24"/>
      <c r="I678" s="27"/>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c r="BC678" s="24"/>
      <c r="BD678" s="24"/>
      <c r="BE678" s="24"/>
      <c r="BF678" s="24"/>
      <c r="BG678" s="24"/>
      <c r="BH678" s="24"/>
      <c r="BI678" s="24"/>
      <c r="BJ678" s="24"/>
      <c r="BK678" s="24"/>
      <c r="BL678" s="24"/>
      <c r="BM678" s="24"/>
      <c r="BN678" s="24"/>
      <c r="BO678" s="24"/>
      <c r="BP678" s="24"/>
      <c r="BQ678" s="24"/>
      <c r="BR678" s="24"/>
      <c r="BS678" s="24"/>
      <c r="BT678" s="24"/>
      <c r="BU678" s="24"/>
      <c r="BV678" s="24"/>
      <c r="BW678" s="24"/>
      <c r="BX678" s="24"/>
      <c r="BY678" s="24"/>
      <c r="BZ678" s="24"/>
      <c r="CA678" s="24"/>
      <c r="CB678" s="24"/>
      <c r="CC678" s="24"/>
      <c r="CD678" s="24"/>
    </row>
    <row r="679" spans="2:82" ht="16.5" customHeight="1" x14ac:dyDescent="0.3">
      <c r="B679" s="26"/>
      <c r="C679" s="26"/>
      <c r="D679" s="26"/>
      <c r="E679" s="26"/>
      <c r="F679" s="26"/>
      <c r="G679" s="26"/>
      <c r="H679" s="24"/>
      <c r="I679" s="27"/>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c r="BC679" s="24"/>
      <c r="BD679" s="24"/>
      <c r="BE679" s="24"/>
      <c r="BF679" s="24"/>
      <c r="BG679" s="24"/>
      <c r="BH679" s="24"/>
      <c r="BI679" s="24"/>
      <c r="BJ679" s="24"/>
      <c r="BK679" s="24"/>
      <c r="BL679" s="24"/>
      <c r="BM679" s="24"/>
      <c r="BN679" s="24"/>
      <c r="BO679" s="24"/>
      <c r="BP679" s="24"/>
      <c r="BQ679" s="24"/>
      <c r="BR679" s="24"/>
      <c r="BS679" s="24"/>
      <c r="BT679" s="24"/>
      <c r="BU679" s="24"/>
      <c r="BV679" s="24"/>
      <c r="BW679" s="24"/>
      <c r="BX679" s="24"/>
      <c r="BY679" s="24"/>
      <c r="BZ679" s="24"/>
      <c r="CA679" s="24"/>
      <c r="CB679" s="24"/>
      <c r="CC679" s="24"/>
      <c r="CD679" s="24"/>
    </row>
    <row r="680" spans="2:82" ht="16.5" customHeight="1" x14ac:dyDescent="0.3">
      <c r="B680" s="26"/>
      <c r="C680" s="26"/>
      <c r="D680" s="26"/>
      <c r="E680" s="26"/>
      <c r="F680" s="26"/>
      <c r="G680" s="26"/>
      <c r="H680" s="24"/>
      <c r="I680" s="27"/>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c r="BC680" s="24"/>
      <c r="BD680" s="24"/>
      <c r="BE680" s="24"/>
      <c r="BF680" s="24"/>
      <c r="BG680" s="24"/>
      <c r="BH680" s="24"/>
      <c r="BI680" s="24"/>
      <c r="BJ680" s="24"/>
      <c r="BK680" s="24"/>
      <c r="BL680" s="24"/>
      <c r="BM680" s="24"/>
      <c r="BN680" s="24"/>
      <c r="BO680" s="24"/>
      <c r="BP680" s="24"/>
      <c r="BQ680" s="24"/>
      <c r="BR680" s="24"/>
      <c r="BS680" s="24"/>
      <c r="BT680" s="24"/>
      <c r="BU680" s="24"/>
      <c r="BV680" s="24"/>
      <c r="BW680" s="24"/>
      <c r="BX680" s="24"/>
      <c r="BY680" s="24"/>
      <c r="BZ680" s="24"/>
      <c r="CA680" s="24"/>
      <c r="CB680" s="24"/>
      <c r="CC680" s="24"/>
      <c r="CD680" s="24"/>
    </row>
    <row r="681" spans="2:82" ht="16.5" customHeight="1" x14ac:dyDescent="0.3">
      <c r="B681" s="26"/>
      <c r="C681" s="26"/>
      <c r="D681" s="26"/>
      <c r="E681" s="26"/>
      <c r="F681" s="26"/>
      <c r="G681" s="26"/>
      <c r="H681" s="24"/>
      <c r="I681" s="27"/>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c r="BC681" s="24"/>
      <c r="BD681" s="24"/>
      <c r="BE681" s="24"/>
      <c r="BF681" s="24"/>
      <c r="BG681" s="24"/>
      <c r="BH681" s="24"/>
      <c r="BI681" s="24"/>
      <c r="BJ681" s="24"/>
      <c r="BK681" s="24"/>
      <c r="BL681" s="24"/>
      <c r="BM681" s="24"/>
      <c r="BN681" s="24"/>
      <c r="BO681" s="24"/>
      <c r="BP681" s="24"/>
      <c r="BQ681" s="24"/>
      <c r="BR681" s="24"/>
      <c r="BS681" s="24"/>
      <c r="BT681" s="24"/>
      <c r="BU681" s="24"/>
      <c r="BV681" s="24"/>
      <c r="BW681" s="24"/>
      <c r="BX681" s="24"/>
      <c r="BY681" s="24"/>
      <c r="BZ681" s="24"/>
      <c r="CA681" s="24"/>
      <c r="CB681" s="24"/>
      <c r="CC681" s="24"/>
      <c r="CD681" s="24"/>
    </row>
    <row r="682" spans="2:82" ht="16.5" customHeight="1" x14ac:dyDescent="0.3">
      <c r="B682" s="26"/>
      <c r="C682" s="26"/>
      <c r="D682" s="26"/>
      <c r="E682" s="26"/>
      <c r="F682" s="26"/>
      <c r="G682" s="26"/>
      <c r="H682" s="24"/>
      <c r="I682" s="27"/>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c r="BC682" s="24"/>
      <c r="BD682" s="24"/>
      <c r="BE682" s="24"/>
      <c r="BF682" s="24"/>
      <c r="BG682" s="24"/>
      <c r="BH682" s="24"/>
      <c r="BI682" s="24"/>
      <c r="BJ682" s="24"/>
      <c r="BK682" s="24"/>
      <c r="BL682" s="24"/>
      <c r="BM682" s="24"/>
      <c r="BN682" s="24"/>
      <c r="BO682" s="24"/>
      <c r="BP682" s="24"/>
      <c r="BQ682" s="24"/>
      <c r="BR682" s="24"/>
      <c r="BS682" s="24"/>
      <c r="BT682" s="24"/>
      <c r="BU682" s="24"/>
      <c r="BV682" s="24"/>
      <c r="BW682" s="24"/>
      <c r="BX682" s="24"/>
      <c r="BY682" s="24"/>
      <c r="BZ682" s="24"/>
      <c r="CA682" s="24"/>
      <c r="CB682" s="24"/>
      <c r="CC682" s="24"/>
      <c r="CD682" s="24"/>
    </row>
    <row r="683" spans="2:82" ht="16.5" customHeight="1" x14ac:dyDescent="0.3">
      <c r="B683" s="26"/>
      <c r="C683" s="26"/>
      <c r="D683" s="26"/>
      <c r="E683" s="26"/>
      <c r="F683" s="26"/>
      <c r="G683" s="26"/>
      <c r="H683" s="24"/>
      <c r="I683" s="27"/>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c r="BC683" s="24"/>
      <c r="BD683" s="24"/>
      <c r="BE683" s="24"/>
      <c r="BF683" s="24"/>
      <c r="BG683" s="24"/>
      <c r="BH683" s="24"/>
      <c r="BI683" s="24"/>
      <c r="BJ683" s="24"/>
      <c r="BK683" s="24"/>
      <c r="BL683" s="24"/>
      <c r="BM683" s="24"/>
      <c r="BN683" s="24"/>
      <c r="BO683" s="24"/>
      <c r="BP683" s="24"/>
      <c r="BQ683" s="24"/>
      <c r="BR683" s="24"/>
      <c r="BS683" s="24"/>
      <c r="BT683" s="24"/>
      <c r="BU683" s="24"/>
      <c r="BV683" s="24"/>
      <c r="BW683" s="24"/>
      <c r="BX683" s="24"/>
      <c r="BY683" s="24"/>
      <c r="BZ683" s="24"/>
      <c r="CA683" s="24"/>
      <c r="CB683" s="24"/>
      <c r="CC683" s="24"/>
      <c r="CD683" s="24"/>
    </row>
    <row r="684" spans="2:82" ht="16.5" customHeight="1" x14ac:dyDescent="0.3">
      <c r="B684" s="26"/>
      <c r="C684" s="26"/>
      <c r="D684" s="26"/>
      <c r="E684" s="26"/>
      <c r="F684" s="26"/>
      <c r="G684" s="26"/>
      <c r="H684" s="24"/>
      <c r="I684" s="27"/>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c r="BC684" s="24"/>
      <c r="BD684" s="24"/>
      <c r="BE684" s="24"/>
      <c r="BF684" s="24"/>
      <c r="BG684" s="24"/>
      <c r="BH684" s="24"/>
      <c r="BI684" s="24"/>
      <c r="BJ684" s="24"/>
      <c r="BK684" s="24"/>
      <c r="BL684" s="24"/>
      <c r="BM684" s="24"/>
      <c r="BN684" s="24"/>
      <c r="BO684" s="24"/>
      <c r="BP684" s="24"/>
      <c r="BQ684" s="24"/>
      <c r="BR684" s="24"/>
      <c r="BS684" s="24"/>
      <c r="BT684" s="24"/>
      <c r="BU684" s="24"/>
      <c r="BV684" s="24"/>
      <c r="BW684" s="24"/>
      <c r="BX684" s="24"/>
      <c r="BY684" s="24"/>
      <c r="BZ684" s="24"/>
      <c r="CA684" s="24"/>
      <c r="CB684" s="24"/>
      <c r="CC684" s="24"/>
      <c r="CD684" s="24"/>
    </row>
    <row r="685" spans="2:82" ht="16.5" customHeight="1" x14ac:dyDescent="0.3">
      <c r="B685" s="26"/>
      <c r="C685" s="26"/>
      <c r="D685" s="26"/>
      <c r="E685" s="26"/>
      <c r="F685" s="26"/>
      <c r="G685" s="26"/>
      <c r="H685" s="24"/>
      <c r="I685" s="27"/>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c r="BC685" s="24"/>
      <c r="BD685" s="24"/>
      <c r="BE685" s="24"/>
      <c r="BF685" s="24"/>
      <c r="BG685" s="24"/>
      <c r="BH685" s="24"/>
      <c r="BI685" s="24"/>
      <c r="BJ685" s="24"/>
      <c r="BK685" s="24"/>
      <c r="BL685" s="24"/>
      <c r="BM685" s="24"/>
      <c r="BN685" s="24"/>
      <c r="BO685" s="24"/>
      <c r="BP685" s="24"/>
      <c r="BQ685" s="24"/>
      <c r="BR685" s="24"/>
      <c r="BS685" s="24"/>
      <c r="BT685" s="24"/>
      <c r="BU685" s="24"/>
      <c r="BV685" s="24"/>
      <c r="BW685" s="24"/>
      <c r="BX685" s="24"/>
      <c r="BY685" s="24"/>
      <c r="BZ685" s="24"/>
      <c r="CA685" s="24"/>
      <c r="CB685" s="24"/>
      <c r="CC685" s="24"/>
      <c r="CD685" s="24"/>
    </row>
    <row r="686" spans="2:82" ht="16.5" customHeight="1" x14ac:dyDescent="0.3">
      <c r="B686" s="26"/>
      <c r="C686" s="26"/>
      <c r="D686" s="26"/>
      <c r="E686" s="26"/>
      <c r="F686" s="26"/>
      <c r="G686" s="26"/>
      <c r="H686" s="24"/>
      <c r="I686" s="27"/>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c r="BC686" s="24"/>
      <c r="BD686" s="24"/>
      <c r="BE686" s="24"/>
      <c r="BF686" s="24"/>
      <c r="BG686" s="24"/>
      <c r="BH686" s="24"/>
      <c r="BI686" s="24"/>
      <c r="BJ686" s="24"/>
      <c r="BK686" s="24"/>
      <c r="BL686" s="24"/>
      <c r="BM686" s="24"/>
      <c r="BN686" s="24"/>
      <c r="BO686" s="24"/>
      <c r="BP686" s="24"/>
      <c r="BQ686" s="24"/>
      <c r="BR686" s="24"/>
      <c r="BS686" s="24"/>
      <c r="BT686" s="24"/>
      <c r="BU686" s="24"/>
      <c r="BV686" s="24"/>
      <c r="BW686" s="24"/>
      <c r="BX686" s="24"/>
      <c r="BY686" s="24"/>
      <c r="BZ686" s="24"/>
      <c r="CA686" s="24"/>
      <c r="CB686" s="24"/>
      <c r="CC686" s="24"/>
      <c r="CD686" s="24"/>
    </row>
    <row r="687" spans="2:82" ht="16.5" customHeight="1" x14ac:dyDescent="0.3">
      <c r="B687" s="26"/>
      <c r="C687" s="26"/>
      <c r="D687" s="26"/>
      <c r="E687" s="26"/>
      <c r="F687" s="26"/>
      <c r="G687" s="26"/>
      <c r="H687" s="24"/>
      <c r="I687" s="27"/>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c r="BC687" s="24"/>
      <c r="BD687" s="24"/>
      <c r="BE687" s="24"/>
      <c r="BF687" s="24"/>
      <c r="BG687" s="24"/>
      <c r="BH687" s="24"/>
      <c r="BI687" s="24"/>
      <c r="BJ687" s="24"/>
      <c r="BK687" s="24"/>
      <c r="BL687" s="24"/>
      <c r="BM687" s="24"/>
      <c r="BN687" s="24"/>
      <c r="BO687" s="24"/>
      <c r="BP687" s="24"/>
      <c r="BQ687" s="24"/>
      <c r="BR687" s="24"/>
      <c r="BS687" s="24"/>
      <c r="BT687" s="24"/>
      <c r="BU687" s="24"/>
      <c r="BV687" s="24"/>
      <c r="BW687" s="24"/>
      <c r="BX687" s="24"/>
      <c r="BY687" s="24"/>
      <c r="BZ687" s="24"/>
      <c r="CA687" s="24"/>
      <c r="CB687" s="24"/>
      <c r="CC687" s="24"/>
      <c r="CD687" s="24"/>
    </row>
    <row r="688" spans="2:82" ht="16.5" customHeight="1" x14ac:dyDescent="0.3">
      <c r="B688" s="26"/>
      <c r="C688" s="26"/>
      <c r="D688" s="26"/>
      <c r="E688" s="26"/>
      <c r="F688" s="26"/>
      <c r="G688" s="26"/>
      <c r="H688" s="24"/>
      <c r="I688" s="27"/>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c r="BC688" s="24"/>
      <c r="BD688" s="24"/>
      <c r="BE688" s="24"/>
      <c r="BF688" s="24"/>
      <c r="BG688" s="24"/>
      <c r="BH688" s="24"/>
      <c r="BI688" s="24"/>
      <c r="BJ688" s="24"/>
      <c r="BK688" s="24"/>
      <c r="BL688" s="24"/>
      <c r="BM688" s="24"/>
      <c r="BN688" s="24"/>
      <c r="BO688" s="24"/>
      <c r="BP688" s="24"/>
      <c r="BQ688" s="24"/>
      <c r="BR688" s="24"/>
      <c r="BS688" s="24"/>
      <c r="BT688" s="24"/>
      <c r="BU688" s="24"/>
      <c r="BV688" s="24"/>
      <c r="BW688" s="24"/>
      <c r="BX688" s="24"/>
      <c r="BY688" s="24"/>
      <c r="BZ688" s="24"/>
      <c r="CA688" s="24"/>
      <c r="CB688" s="24"/>
      <c r="CC688" s="24"/>
      <c r="CD688" s="24"/>
    </row>
    <row r="689" spans="2:82" ht="16.5" customHeight="1" x14ac:dyDescent="0.3">
      <c r="B689" s="26"/>
      <c r="C689" s="26"/>
      <c r="D689" s="26"/>
      <c r="E689" s="26"/>
      <c r="F689" s="26"/>
      <c r="G689" s="26"/>
      <c r="H689" s="24"/>
      <c r="I689" s="27"/>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c r="BC689" s="24"/>
      <c r="BD689" s="24"/>
      <c r="BE689" s="24"/>
      <c r="BF689" s="24"/>
      <c r="BG689" s="24"/>
      <c r="BH689" s="24"/>
      <c r="BI689" s="24"/>
      <c r="BJ689" s="24"/>
      <c r="BK689" s="24"/>
      <c r="BL689" s="24"/>
      <c r="BM689" s="24"/>
      <c r="BN689" s="24"/>
      <c r="BO689" s="24"/>
      <c r="BP689" s="24"/>
      <c r="BQ689" s="24"/>
      <c r="BR689" s="24"/>
      <c r="BS689" s="24"/>
      <c r="BT689" s="24"/>
      <c r="BU689" s="24"/>
      <c r="BV689" s="24"/>
      <c r="BW689" s="24"/>
      <c r="BX689" s="24"/>
      <c r="BY689" s="24"/>
      <c r="BZ689" s="24"/>
      <c r="CA689" s="24"/>
      <c r="CB689" s="24"/>
      <c r="CC689" s="24"/>
      <c r="CD689" s="24"/>
    </row>
    <row r="690" spans="2:82" ht="16.5" customHeight="1" x14ac:dyDescent="0.3">
      <c r="B690" s="26"/>
      <c r="C690" s="26"/>
      <c r="D690" s="26"/>
      <c r="E690" s="26"/>
      <c r="F690" s="26"/>
      <c r="G690" s="26"/>
      <c r="H690" s="24"/>
      <c r="I690" s="27"/>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c r="BC690" s="24"/>
      <c r="BD690" s="24"/>
      <c r="BE690" s="24"/>
      <c r="BF690" s="24"/>
      <c r="BG690" s="24"/>
      <c r="BH690" s="24"/>
      <c r="BI690" s="24"/>
      <c r="BJ690" s="24"/>
      <c r="BK690" s="24"/>
      <c r="BL690" s="24"/>
      <c r="BM690" s="24"/>
      <c r="BN690" s="24"/>
      <c r="BO690" s="24"/>
      <c r="BP690" s="24"/>
      <c r="BQ690" s="24"/>
      <c r="BR690" s="24"/>
      <c r="BS690" s="24"/>
      <c r="BT690" s="24"/>
      <c r="BU690" s="24"/>
      <c r="BV690" s="24"/>
      <c r="BW690" s="24"/>
      <c r="BX690" s="24"/>
      <c r="BY690" s="24"/>
      <c r="BZ690" s="24"/>
      <c r="CA690" s="24"/>
      <c r="CB690" s="24"/>
      <c r="CC690" s="24"/>
      <c r="CD690" s="24"/>
    </row>
    <row r="691" spans="2:82" ht="16.5" customHeight="1" x14ac:dyDescent="0.3">
      <c r="B691" s="26"/>
      <c r="C691" s="26"/>
      <c r="D691" s="26"/>
      <c r="E691" s="26"/>
      <c r="F691" s="26"/>
      <c r="G691" s="26"/>
      <c r="H691" s="24"/>
      <c r="I691" s="27"/>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c r="BC691" s="24"/>
      <c r="BD691" s="24"/>
      <c r="BE691" s="24"/>
      <c r="BF691" s="24"/>
      <c r="BG691" s="24"/>
      <c r="BH691" s="24"/>
      <c r="BI691" s="24"/>
      <c r="BJ691" s="24"/>
      <c r="BK691" s="24"/>
      <c r="BL691" s="24"/>
      <c r="BM691" s="24"/>
      <c r="BN691" s="24"/>
      <c r="BO691" s="24"/>
      <c r="BP691" s="24"/>
      <c r="BQ691" s="24"/>
      <c r="BR691" s="24"/>
      <c r="BS691" s="24"/>
      <c r="BT691" s="24"/>
      <c r="BU691" s="24"/>
      <c r="BV691" s="24"/>
      <c r="BW691" s="24"/>
      <c r="BX691" s="24"/>
      <c r="BY691" s="24"/>
      <c r="BZ691" s="24"/>
      <c r="CA691" s="24"/>
      <c r="CB691" s="24"/>
      <c r="CC691" s="24"/>
      <c r="CD691" s="24"/>
    </row>
    <row r="692" spans="2:82" ht="16.5" customHeight="1" x14ac:dyDescent="0.3">
      <c r="B692" s="26"/>
      <c r="C692" s="26"/>
      <c r="D692" s="26"/>
      <c r="E692" s="26"/>
      <c r="F692" s="26"/>
      <c r="G692" s="26"/>
      <c r="H692" s="24"/>
      <c r="I692" s="27"/>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c r="BC692" s="24"/>
      <c r="BD692" s="24"/>
      <c r="BE692" s="24"/>
      <c r="BF692" s="24"/>
      <c r="BG692" s="24"/>
      <c r="BH692" s="24"/>
      <c r="BI692" s="24"/>
      <c r="BJ692" s="24"/>
      <c r="BK692" s="24"/>
      <c r="BL692" s="24"/>
      <c r="BM692" s="24"/>
      <c r="BN692" s="24"/>
      <c r="BO692" s="24"/>
      <c r="BP692" s="24"/>
      <c r="BQ692" s="24"/>
      <c r="BR692" s="24"/>
      <c r="BS692" s="24"/>
      <c r="BT692" s="24"/>
      <c r="BU692" s="24"/>
      <c r="BV692" s="24"/>
      <c r="BW692" s="24"/>
      <c r="BX692" s="24"/>
      <c r="BY692" s="24"/>
      <c r="BZ692" s="24"/>
      <c r="CA692" s="24"/>
      <c r="CB692" s="24"/>
      <c r="CC692" s="24"/>
      <c r="CD692" s="24"/>
    </row>
    <row r="693" spans="2:82" ht="16.5" customHeight="1" x14ac:dyDescent="0.3">
      <c r="B693" s="26"/>
      <c r="C693" s="26"/>
      <c r="D693" s="26"/>
      <c r="E693" s="26"/>
      <c r="F693" s="26"/>
      <c r="G693" s="26"/>
      <c r="H693" s="24"/>
      <c r="I693" s="27"/>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c r="BC693" s="24"/>
      <c r="BD693" s="24"/>
      <c r="BE693" s="24"/>
      <c r="BF693" s="24"/>
      <c r="BG693" s="24"/>
      <c r="BH693" s="24"/>
      <c r="BI693" s="24"/>
      <c r="BJ693" s="24"/>
      <c r="BK693" s="24"/>
      <c r="BL693" s="24"/>
      <c r="BM693" s="24"/>
      <c r="BN693" s="24"/>
      <c r="BO693" s="24"/>
      <c r="BP693" s="24"/>
      <c r="BQ693" s="24"/>
      <c r="BR693" s="24"/>
      <c r="BS693" s="24"/>
      <c r="BT693" s="24"/>
      <c r="BU693" s="24"/>
      <c r="BV693" s="24"/>
      <c r="BW693" s="24"/>
      <c r="BX693" s="24"/>
      <c r="BY693" s="24"/>
      <c r="BZ693" s="24"/>
      <c r="CA693" s="24"/>
      <c r="CB693" s="24"/>
      <c r="CC693" s="24"/>
      <c r="CD693" s="24"/>
    </row>
    <row r="694" spans="2:82" ht="16.5" customHeight="1" x14ac:dyDescent="0.3">
      <c r="B694" s="26"/>
      <c r="C694" s="26"/>
      <c r="D694" s="26"/>
      <c r="E694" s="26"/>
      <c r="F694" s="26"/>
      <c r="G694" s="26"/>
      <c r="H694" s="24"/>
      <c r="I694" s="27"/>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c r="BC694" s="24"/>
      <c r="BD694" s="24"/>
      <c r="BE694" s="24"/>
      <c r="BF694" s="24"/>
      <c r="BG694" s="24"/>
      <c r="BH694" s="24"/>
      <c r="BI694" s="24"/>
      <c r="BJ694" s="24"/>
      <c r="BK694" s="24"/>
      <c r="BL694" s="24"/>
      <c r="BM694" s="24"/>
      <c r="BN694" s="24"/>
      <c r="BO694" s="24"/>
      <c r="BP694" s="24"/>
      <c r="BQ694" s="24"/>
      <c r="BR694" s="24"/>
      <c r="BS694" s="24"/>
      <c r="BT694" s="24"/>
      <c r="BU694" s="24"/>
      <c r="BV694" s="24"/>
      <c r="BW694" s="24"/>
      <c r="BX694" s="24"/>
      <c r="BY694" s="24"/>
      <c r="BZ694" s="24"/>
      <c r="CA694" s="24"/>
      <c r="CB694" s="24"/>
      <c r="CC694" s="24"/>
      <c r="CD694" s="24"/>
    </row>
    <row r="695" spans="2:82" ht="16.5" customHeight="1" x14ac:dyDescent="0.3">
      <c r="B695" s="26"/>
      <c r="C695" s="26"/>
      <c r="D695" s="26"/>
      <c r="E695" s="26"/>
      <c r="F695" s="26"/>
      <c r="G695" s="26"/>
      <c r="H695" s="24"/>
      <c r="I695" s="27"/>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C695" s="24"/>
      <c r="BD695" s="24"/>
      <c r="BE695" s="24"/>
      <c r="BF695" s="24"/>
      <c r="BG695" s="24"/>
      <c r="BH695" s="24"/>
      <c r="BI695" s="24"/>
      <c r="BJ695" s="24"/>
      <c r="BK695" s="24"/>
      <c r="BL695" s="24"/>
      <c r="BM695" s="24"/>
      <c r="BN695" s="24"/>
      <c r="BO695" s="24"/>
      <c r="BP695" s="24"/>
      <c r="BQ695" s="24"/>
      <c r="BR695" s="24"/>
      <c r="BS695" s="24"/>
      <c r="BT695" s="24"/>
      <c r="BU695" s="24"/>
      <c r="BV695" s="24"/>
      <c r="BW695" s="24"/>
      <c r="BX695" s="24"/>
      <c r="BY695" s="24"/>
      <c r="BZ695" s="24"/>
      <c r="CA695" s="24"/>
      <c r="CB695" s="24"/>
      <c r="CC695" s="24"/>
      <c r="CD695" s="24"/>
    </row>
    <row r="696" spans="2:82" ht="16.5" customHeight="1" x14ac:dyDescent="0.3">
      <c r="B696" s="26"/>
      <c r="C696" s="26"/>
      <c r="D696" s="26"/>
      <c r="E696" s="26"/>
      <c r="F696" s="26"/>
      <c r="G696" s="26"/>
      <c r="H696" s="24"/>
      <c r="I696" s="27"/>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c r="BC696" s="24"/>
      <c r="BD696" s="24"/>
      <c r="BE696" s="24"/>
      <c r="BF696" s="24"/>
      <c r="BG696" s="24"/>
      <c r="BH696" s="24"/>
      <c r="BI696" s="24"/>
      <c r="BJ696" s="24"/>
      <c r="BK696" s="24"/>
      <c r="BL696" s="24"/>
      <c r="BM696" s="24"/>
      <c r="BN696" s="24"/>
      <c r="BO696" s="24"/>
      <c r="BP696" s="24"/>
      <c r="BQ696" s="24"/>
      <c r="BR696" s="24"/>
      <c r="BS696" s="24"/>
      <c r="BT696" s="24"/>
      <c r="BU696" s="24"/>
      <c r="BV696" s="24"/>
      <c r="BW696" s="24"/>
      <c r="BX696" s="24"/>
      <c r="BY696" s="24"/>
      <c r="BZ696" s="24"/>
      <c r="CA696" s="24"/>
      <c r="CB696" s="24"/>
      <c r="CC696" s="24"/>
      <c r="CD696" s="24"/>
    </row>
    <row r="697" spans="2:82" ht="16.5" customHeight="1" x14ac:dyDescent="0.3">
      <c r="B697" s="26"/>
      <c r="C697" s="26"/>
      <c r="D697" s="26"/>
      <c r="E697" s="26"/>
      <c r="F697" s="26"/>
      <c r="G697" s="26"/>
      <c r="H697" s="24"/>
      <c r="I697" s="27"/>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c r="BC697" s="24"/>
      <c r="BD697" s="24"/>
      <c r="BE697" s="24"/>
      <c r="BF697" s="24"/>
      <c r="BG697" s="24"/>
      <c r="BH697" s="24"/>
      <c r="BI697" s="24"/>
      <c r="BJ697" s="24"/>
      <c r="BK697" s="24"/>
      <c r="BL697" s="24"/>
      <c r="BM697" s="24"/>
      <c r="BN697" s="24"/>
      <c r="BO697" s="24"/>
      <c r="BP697" s="24"/>
      <c r="BQ697" s="24"/>
      <c r="BR697" s="24"/>
      <c r="BS697" s="24"/>
      <c r="BT697" s="24"/>
      <c r="BU697" s="24"/>
      <c r="BV697" s="24"/>
      <c r="BW697" s="24"/>
      <c r="BX697" s="24"/>
      <c r="BY697" s="24"/>
      <c r="BZ697" s="24"/>
      <c r="CA697" s="24"/>
      <c r="CB697" s="24"/>
      <c r="CC697" s="24"/>
      <c r="CD697" s="24"/>
    </row>
    <row r="698" spans="2:82" ht="16.5" customHeight="1" x14ac:dyDescent="0.3">
      <c r="B698" s="26"/>
      <c r="C698" s="26"/>
      <c r="D698" s="26"/>
      <c r="E698" s="26"/>
      <c r="F698" s="26"/>
      <c r="G698" s="26"/>
      <c r="H698" s="24"/>
      <c r="I698" s="27"/>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c r="BA698" s="24"/>
      <c r="BB698" s="24"/>
      <c r="BC698" s="24"/>
      <c r="BD698" s="24"/>
      <c r="BE698" s="24"/>
      <c r="BF698" s="24"/>
      <c r="BG698" s="24"/>
      <c r="BH698" s="24"/>
      <c r="BI698" s="24"/>
      <c r="BJ698" s="24"/>
      <c r="BK698" s="24"/>
      <c r="BL698" s="24"/>
      <c r="BM698" s="24"/>
      <c r="BN698" s="24"/>
      <c r="BO698" s="24"/>
      <c r="BP698" s="24"/>
      <c r="BQ698" s="24"/>
      <c r="BR698" s="24"/>
      <c r="BS698" s="24"/>
      <c r="BT698" s="24"/>
      <c r="BU698" s="24"/>
      <c r="BV698" s="24"/>
      <c r="BW698" s="24"/>
      <c r="BX698" s="24"/>
      <c r="BY698" s="24"/>
      <c r="BZ698" s="24"/>
      <c r="CA698" s="24"/>
      <c r="CB698" s="24"/>
      <c r="CC698" s="24"/>
      <c r="CD698" s="24"/>
    </row>
    <row r="699" spans="2:82" ht="16.5" customHeight="1" x14ac:dyDescent="0.3">
      <c r="B699" s="26"/>
      <c r="C699" s="26"/>
      <c r="D699" s="26"/>
      <c r="E699" s="26"/>
      <c r="F699" s="26"/>
      <c r="G699" s="26"/>
      <c r="H699" s="24"/>
      <c r="I699" s="27"/>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c r="BA699" s="24"/>
      <c r="BB699" s="24"/>
      <c r="BC699" s="24"/>
      <c r="BD699" s="24"/>
      <c r="BE699" s="24"/>
      <c r="BF699" s="24"/>
      <c r="BG699" s="24"/>
      <c r="BH699" s="24"/>
      <c r="BI699" s="24"/>
      <c r="BJ699" s="24"/>
      <c r="BK699" s="24"/>
      <c r="BL699" s="24"/>
      <c r="BM699" s="24"/>
      <c r="BN699" s="24"/>
      <c r="BO699" s="24"/>
      <c r="BP699" s="24"/>
      <c r="BQ699" s="24"/>
      <c r="BR699" s="24"/>
      <c r="BS699" s="24"/>
      <c r="BT699" s="24"/>
      <c r="BU699" s="24"/>
      <c r="BV699" s="24"/>
      <c r="BW699" s="24"/>
      <c r="BX699" s="24"/>
      <c r="BY699" s="24"/>
      <c r="BZ699" s="24"/>
      <c r="CA699" s="24"/>
      <c r="CB699" s="24"/>
      <c r="CC699" s="24"/>
      <c r="CD699" s="24"/>
    </row>
    <row r="700" spans="2:82" ht="16.5" customHeight="1" x14ac:dyDescent="0.3">
      <c r="B700" s="26"/>
      <c r="C700" s="26"/>
      <c r="D700" s="26"/>
      <c r="E700" s="26"/>
      <c r="F700" s="26"/>
      <c r="G700" s="26"/>
      <c r="H700" s="24"/>
      <c r="I700" s="27"/>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c r="BA700" s="24"/>
      <c r="BB700" s="24"/>
      <c r="BC700" s="24"/>
      <c r="BD700" s="24"/>
      <c r="BE700" s="24"/>
      <c r="BF700" s="24"/>
      <c r="BG700" s="24"/>
      <c r="BH700" s="24"/>
      <c r="BI700" s="24"/>
      <c r="BJ700" s="24"/>
      <c r="BK700" s="24"/>
      <c r="BL700" s="24"/>
      <c r="BM700" s="24"/>
      <c r="BN700" s="24"/>
      <c r="BO700" s="24"/>
      <c r="BP700" s="24"/>
      <c r="BQ700" s="24"/>
      <c r="BR700" s="24"/>
      <c r="BS700" s="24"/>
      <c r="BT700" s="24"/>
      <c r="BU700" s="24"/>
      <c r="BV700" s="24"/>
      <c r="BW700" s="24"/>
      <c r="BX700" s="24"/>
      <c r="BY700" s="24"/>
      <c r="BZ700" s="24"/>
      <c r="CA700" s="24"/>
      <c r="CB700" s="24"/>
      <c r="CC700" s="24"/>
      <c r="CD700" s="24"/>
    </row>
    <row r="701" spans="2:82" ht="16.5" customHeight="1" x14ac:dyDescent="0.3">
      <c r="B701" s="26"/>
      <c r="C701" s="26"/>
      <c r="D701" s="26"/>
      <c r="E701" s="26"/>
      <c r="F701" s="26"/>
      <c r="G701" s="26"/>
      <c r="H701" s="24"/>
      <c r="I701" s="27"/>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c r="BA701" s="24"/>
      <c r="BB701" s="24"/>
      <c r="BC701" s="24"/>
      <c r="BD701" s="24"/>
      <c r="BE701" s="24"/>
      <c r="BF701" s="24"/>
      <c r="BG701" s="24"/>
      <c r="BH701" s="24"/>
      <c r="BI701" s="24"/>
      <c r="BJ701" s="24"/>
      <c r="BK701" s="24"/>
      <c r="BL701" s="24"/>
      <c r="BM701" s="24"/>
      <c r="BN701" s="24"/>
      <c r="BO701" s="24"/>
      <c r="BP701" s="24"/>
      <c r="BQ701" s="24"/>
      <c r="BR701" s="24"/>
      <c r="BS701" s="24"/>
      <c r="BT701" s="24"/>
      <c r="BU701" s="24"/>
      <c r="BV701" s="24"/>
      <c r="BW701" s="24"/>
      <c r="BX701" s="24"/>
      <c r="BY701" s="24"/>
      <c r="BZ701" s="24"/>
      <c r="CA701" s="24"/>
      <c r="CB701" s="24"/>
      <c r="CC701" s="24"/>
      <c r="CD701" s="24"/>
    </row>
    <row r="702" spans="2:82" ht="16.5" customHeight="1" x14ac:dyDescent="0.3">
      <c r="B702" s="26"/>
      <c r="C702" s="26"/>
      <c r="D702" s="26"/>
      <c r="E702" s="26"/>
      <c r="F702" s="26"/>
      <c r="G702" s="26"/>
      <c r="H702" s="24"/>
      <c r="I702" s="27"/>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c r="BA702" s="24"/>
      <c r="BB702" s="24"/>
      <c r="BC702" s="24"/>
      <c r="BD702" s="24"/>
      <c r="BE702" s="24"/>
      <c r="BF702" s="24"/>
      <c r="BG702" s="24"/>
      <c r="BH702" s="24"/>
      <c r="BI702" s="24"/>
      <c r="BJ702" s="24"/>
      <c r="BK702" s="24"/>
      <c r="BL702" s="24"/>
      <c r="BM702" s="24"/>
      <c r="BN702" s="24"/>
      <c r="BO702" s="24"/>
      <c r="BP702" s="24"/>
      <c r="BQ702" s="24"/>
      <c r="BR702" s="24"/>
      <c r="BS702" s="24"/>
      <c r="BT702" s="24"/>
      <c r="BU702" s="24"/>
      <c r="BV702" s="24"/>
      <c r="BW702" s="24"/>
      <c r="BX702" s="24"/>
      <c r="BY702" s="24"/>
      <c r="BZ702" s="24"/>
      <c r="CA702" s="24"/>
      <c r="CB702" s="24"/>
      <c r="CC702" s="24"/>
      <c r="CD702" s="24"/>
    </row>
    <row r="703" spans="2:82" ht="16.5" customHeight="1" x14ac:dyDescent="0.3">
      <c r="B703" s="26"/>
      <c r="C703" s="26"/>
      <c r="D703" s="26"/>
      <c r="E703" s="26"/>
      <c r="F703" s="26"/>
      <c r="G703" s="26"/>
      <c r="H703" s="24"/>
      <c r="I703" s="27"/>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c r="BA703" s="24"/>
      <c r="BB703" s="24"/>
      <c r="BC703" s="24"/>
      <c r="BD703" s="24"/>
      <c r="BE703" s="24"/>
      <c r="BF703" s="24"/>
      <c r="BG703" s="24"/>
      <c r="BH703" s="24"/>
      <c r="BI703" s="24"/>
      <c r="BJ703" s="24"/>
      <c r="BK703" s="24"/>
      <c r="BL703" s="24"/>
      <c r="BM703" s="24"/>
      <c r="BN703" s="24"/>
      <c r="BO703" s="24"/>
      <c r="BP703" s="24"/>
      <c r="BQ703" s="24"/>
      <c r="BR703" s="24"/>
      <c r="BS703" s="24"/>
      <c r="BT703" s="24"/>
      <c r="BU703" s="24"/>
      <c r="BV703" s="24"/>
      <c r="BW703" s="24"/>
      <c r="BX703" s="24"/>
      <c r="BY703" s="24"/>
      <c r="BZ703" s="24"/>
      <c r="CA703" s="24"/>
      <c r="CB703" s="24"/>
      <c r="CC703" s="24"/>
      <c r="CD703" s="24"/>
    </row>
    <row r="704" spans="2:82" ht="16.5" customHeight="1" x14ac:dyDescent="0.3">
      <c r="B704" s="26"/>
      <c r="C704" s="26"/>
      <c r="D704" s="26"/>
      <c r="E704" s="26"/>
      <c r="F704" s="26"/>
      <c r="G704" s="26"/>
      <c r="H704" s="24"/>
      <c r="I704" s="27"/>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c r="BA704" s="24"/>
      <c r="BB704" s="24"/>
      <c r="BC704" s="24"/>
      <c r="BD704" s="24"/>
      <c r="BE704" s="24"/>
      <c r="BF704" s="24"/>
      <c r="BG704" s="24"/>
      <c r="BH704" s="24"/>
      <c r="BI704" s="24"/>
      <c r="BJ704" s="24"/>
      <c r="BK704" s="24"/>
      <c r="BL704" s="24"/>
      <c r="BM704" s="24"/>
      <c r="BN704" s="24"/>
      <c r="BO704" s="24"/>
      <c r="BP704" s="24"/>
      <c r="BQ704" s="24"/>
      <c r="BR704" s="24"/>
      <c r="BS704" s="24"/>
      <c r="BT704" s="24"/>
      <c r="BU704" s="24"/>
      <c r="BV704" s="24"/>
      <c r="BW704" s="24"/>
      <c r="BX704" s="24"/>
      <c r="BY704" s="24"/>
      <c r="BZ704" s="24"/>
      <c r="CA704" s="24"/>
      <c r="CB704" s="24"/>
      <c r="CC704" s="24"/>
      <c r="CD704" s="24"/>
    </row>
    <row r="705" spans="2:82" ht="16.5" customHeight="1" x14ac:dyDescent="0.3">
      <c r="B705" s="26"/>
      <c r="C705" s="26"/>
      <c r="D705" s="26"/>
      <c r="E705" s="26"/>
      <c r="F705" s="26"/>
      <c r="G705" s="26"/>
      <c r="H705" s="24"/>
      <c r="I705" s="27"/>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c r="BA705" s="24"/>
      <c r="BB705" s="24"/>
      <c r="BC705" s="24"/>
      <c r="BD705" s="24"/>
      <c r="BE705" s="24"/>
      <c r="BF705" s="24"/>
      <c r="BG705" s="24"/>
      <c r="BH705" s="24"/>
      <c r="BI705" s="24"/>
      <c r="BJ705" s="24"/>
      <c r="BK705" s="24"/>
      <c r="BL705" s="24"/>
      <c r="BM705" s="24"/>
      <c r="BN705" s="24"/>
      <c r="BO705" s="24"/>
      <c r="BP705" s="24"/>
      <c r="BQ705" s="24"/>
      <c r="BR705" s="24"/>
      <c r="BS705" s="24"/>
      <c r="BT705" s="24"/>
      <c r="BU705" s="24"/>
      <c r="BV705" s="24"/>
      <c r="BW705" s="24"/>
      <c r="BX705" s="24"/>
      <c r="BY705" s="24"/>
      <c r="BZ705" s="24"/>
      <c r="CA705" s="24"/>
      <c r="CB705" s="24"/>
      <c r="CC705" s="24"/>
      <c r="CD705" s="24"/>
    </row>
    <row r="706" spans="2:82" ht="16.5" customHeight="1" x14ac:dyDescent="0.3">
      <c r="B706" s="26"/>
      <c r="C706" s="26"/>
      <c r="D706" s="26"/>
      <c r="E706" s="26"/>
      <c r="F706" s="26"/>
      <c r="G706" s="26"/>
      <c r="H706" s="24"/>
      <c r="I706" s="27"/>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c r="BA706" s="24"/>
      <c r="BB706" s="24"/>
      <c r="BC706" s="24"/>
      <c r="BD706" s="24"/>
      <c r="BE706" s="24"/>
      <c r="BF706" s="24"/>
      <c r="BG706" s="24"/>
      <c r="BH706" s="24"/>
      <c r="BI706" s="24"/>
      <c r="BJ706" s="24"/>
      <c r="BK706" s="24"/>
      <c r="BL706" s="24"/>
      <c r="BM706" s="24"/>
      <c r="BN706" s="24"/>
      <c r="BO706" s="24"/>
      <c r="BP706" s="24"/>
      <c r="BQ706" s="24"/>
      <c r="BR706" s="24"/>
      <c r="BS706" s="24"/>
      <c r="BT706" s="24"/>
      <c r="BU706" s="24"/>
      <c r="BV706" s="24"/>
      <c r="BW706" s="24"/>
      <c r="BX706" s="24"/>
      <c r="BY706" s="24"/>
      <c r="BZ706" s="24"/>
      <c r="CA706" s="24"/>
      <c r="CB706" s="24"/>
      <c r="CC706" s="24"/>
      <c r="CD706" s="24"/>
    </row>
    <row r="707" spans="2:82" ht="16.5" customHeight="1" x14ac:dyDescent="0.3">
      <c r="B707" s="26"/>
      <c r="C707" s="26"/>
      <c r="D707" s="26"/>
      <c r="E707" s="26"/>
      <c r="F707" s="26"/>
      <c r="G707" s="26"/>
      <c r="H707" s="24"/>
      <c r="I707" s="27"/>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c r="BA707" s="24"/>
      <c r="BB707" s="24"/>
      <c r="BC707" s="24"/>
      <c r="BD707" s="24"/>
      <c r="BE707" s="24"/>
      <c r="BF707" s="24"/>
      <c r="BG707" s="24"/>
      <c r="BH707" s="24"/>
      <c r="BI707" s="24"/>
      <c r="BJ707" s="24"/>
      <c r="BK707" s="24"/>
      <c r="BL707" s="24"/>
      <c r="BM707" s="24"/>
      <c r="BN707" s="24"/>
      <c r="BO707" s="24"/>
      <c r="BP707" s="24"/>
      <c r="BQ707" s="24"/>
      <c r="BR707" s="24"/>
      <c r="BS707" s="24"/>
      <c r="BT707" s="24"/>
      <c r="BU707" s="24"/>
      <c r="BV707" s="24"/>
      <c r="BW707" s="24"/>
      <c r="BX707" s="24"/>
      <c r="BY707" s="24"/>
      <c r="BZ707" s="24"/>
      <c r="CA707" s="24"/>
      <c r="CB707" s="24"/>
      <c r="CC707" s="24"/>
      <c r="CD707" s="24"/>
    </row>
    <row r="708" spans="2:82" ht="16.5" customHeight="1" x14ac:dyDescent="0.3">
      <c r="B708" s="26"/>
      <c r="C708" s="26"/>
      <c r="D708" s="26"/>
      <c r="E708" s="26"/>
      <c r="F708" s="26"/>
      <c r="G708" s="26"/>
      <c r="H708" s="24"/>
      <c r="I708" s="27"/>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c r="BA708" s="24"/>
      <c r="BB708" s="24"/>
      <c r="BC708" s="24"/>
      <c r="BD708" s="24"/>
      <c r="BE708" s="24"/>
      <c r="BF708" s="24"/>
      <c r="BG708" s="24"/>
      <c r="BH708" s="24"/>
      <c r="BI708" s="24"/>
      <c r="BJ708" s="24"/>
      <c r="BK708" s="24"/>
      <c r="BL708" s="24"/>
      <c r="BM708" s="24"/>
      <c r="BN708" s="24"/>
      <c r="BO708" s="24"/>
      <c r="BP708" s="24"/>
      <c r="BQ708" s="24"/>
      <c r="BR708" s="24"/>
      <c r="BS708" s="24"/>
      <c r="BT708" s="24"/>
      <c r="BU708" s="24"/>
      <c r="BV708" s="24"/>
      <c r="BW708" s="24"/>
      <c r="BX708" s="24"/>
      <c r="BY708" s="24"/>
      <c r="BZ708" s="24"/>
      <c r="CA708" s="24"/>
      <c r="CB708" s="24"/>
      <c r="CC708" s="24"/>
      <c r="CD708" s="24"/>
    </row>
    <row r="709" spans="2:82" ht="16.5" customHeight="1" x14ac:dyDescent="0.3">
      <c r="B709" s="26"/>
      <c r="C709" s="26"/>
      <c r="D709" s="26"/>
      <c r="E709" s="26"/>
      <c r="F709" s="26"/>
      <c r="G709" s="26"/>
      <c r="H709" s="24"/>
      <c r="I709" s="27"/>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c r="BA709" s="24"/>
      <c r="BB709" s="24"/>
      <c r="BC709" s="24"/>
      <c r="BD709" s="24"/>
      <c r="BE709" s="24"/>
      <c r="BF709" s="24"/>
      <c r="BG709" s="24"/>
      <c r="BH709" s="24"/>
      <c r="BI709" s="24"/>
      <c r="BJ709" s="24"/>
      <c r="BK709" s="24"/>
      <c r="BL709" s="24"/>
      <c r="BM709" s="24"/>
      <c r="BN709" s="24"/>
      <c r="BO709" s="24"/>
      <c r="BP709" s="24"/>
      <c r="BQ709" s="24"/>
      <c r="BR709" s="24"/>
      <c r="BS709" s="24"/>
      <c r="BT709" s="24"/>
      <c r="BU709" s="24"/>
      <c r="BV709" s="24"/>
      <c r="BW709" s="24"/>
      <c r="BX709" s="24"/>
      <c r="BY709" s="24"/>
      <c r="BZ709" s="24"/>
      <c r="CA709" s="24"/>
      <c r="CB709" s="24"/>
      <c r="CC709" s="24"/>
      <c r="CD709" s="24"/>
    </row>
    <row r="710" spans="2:82" ht="16.5" customHeight="1" x14ac:dyDescent="0.3">
      <c r="B710" s="26"/>
      <c r="C710" s="26"/>
      <c r="D710" s="26"/>
      <c r="E710" s="26"/>
      <c r="F710" s="26"/>
      <c r="G710" s="26"/>
      <c r="H710" s="24"/>
      <c r="I710" s="27"/>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c r="BA710" s="24"/>
      <c r="BB710" s="24"/>
      <c r="BC710" s="24"/>
      <c r="BD710" s="24"/>
      <c r="BE710" s="24"/>
      <c r="BF710" s="24"/>
      <c r="BG710" s="24"/>
      <c r="BH710" s="24"/>
      <c r="BI710" s="24"/>
      <c r="BJ710" s="24"/>
      <c r="BK710" s="24"/>
      <c r="BL710" s="24"/>
      <c r="BM710" s="24"/>
      <c r="BN710" s="24"/>
      <c r="BO710" s="24"/>
      <c r="BP710" s="24"/>
      <c r="BQ710" s="24"/>
      <c r="BR710" s="24"/>
      <c r="BS710" s="24"/>
      <c r="BT710" s="24"/>
      <c r="BU710" s="24"/>
      <c r="BV710" s="24"/>
      <c r="BW710" s="24"/>
      <c r="BX710" s="24"/>
      <c r="BY710" s="24"/>
      <c r="BZ710" s="24"/>
      <c r="CA710" s="24"/>
      <c r="CB710" s="24"/>
      <c r="CC710" s="24"/>
      <c r="CD710" s="24"/>
    </row>
    <row r="711" spans="2:82" ht="16.5" customHeight="1" x14ac:dyDescent="0.3">
      <c r="B711" s="26"/>
      <c r="C711" s="26"/>
      <c r="D711" s="26"/>
      <c r="E711" s="26"/>
      <c r="F711" s="26"/>
      <c r="G711" s="26"/>
      <c r="H711" s="24"/>
      <c r="I711" s="27"/>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c r="BA711" s="24"/>
      <c r="BB711" s="24"/>
      <c r="BC711" s="24"/>
      <c r="BD711" s="24"/>
      <c r="BE711" s="24"/>
      <c r="BF711" s="24"/>
      <c r="BG711" s="24"/>
      <c r="BH711" s="24"/>
      <c r="BI711" s="24"/>
      <c r="BJ711" s="24"/>
      <c r="BK711" s="24"/>
      <c r="BL711" s="24"/>
      <c r="BM711" s="24"/>
      <c r="BN711" s="24"/>
      <c r="BO711" s="24"/>
      <c r="BP711" s="24"/>
      <c r="BQ711" s="24"/>
      <c r="BR711" s="24"/>
      <c r="BS711" s="24"/>
      <c r="BT711" s="24"/>
      <c r="BU711" s="24"/>
      <c r="BV711" s="24"/>
      <c r="BW711" s="24"/>
      <c r="BX711" s="24"/>
      <c r="BY711" s="24"/>
      <c r="BZ711" s="24"/>
      <c r="CA711" s="24"/>
      <c r="CB711" s="24"/>
      <c r="CC711" s="24"/>
      <c r="CD711" s="24"/>
    </row>
    <row r="712" spans="2:82" ht="16.5" customHeight="1" x14ac:dyDescent="0.3">
      <c r="B712" s="26"/>
      <c r="C712" s="26"/>
      <c r="D712" s="26"/>
      <c r="E712" s="26"/>
      <c r="F712" s="26"/>
      <c r="G712" s="26"/>
      <c r="H712" s="24"/>
      <c r="I712" s="27"/>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c r="BC712" s="24"/>
      <c r="BD712" s="24"/>
      <c r="BE712" s="24"/>
      <c r="BF712" s="24"/>
      <c r="BG712" s="24"/>
      <c r="BH712" s="24"/>
      <c r="BI712" s="24"/>
      <c r="BJ712" s="24"/>
      <c r="BK712" s="24"/>
      <c r="BL712" s="24"/>
      <c r="BM712" s="24"/>
      <c r="BN712" s="24"/>
      <c r="BO712" s="24"/>
      <c r="BP712" s="24"/>
      <c r="BQ712" s="24"/>
      <c r="BR712" s="24"/>
      <c r="BS712" s="24"/>
      <c r="BT712" s="24"/>
      <c r="BU712" s="24"/>
      <c r="BV712" s="24"/>
      <c r="BW712" s="24"/>
      <c r="BX712" s="24"/>
      <c r="BY712" s="24"/>
      <c r="BZ712" s="24"/>
      <c r="CA712" s="24"/>
      <c r="CB712" s="24"/>
      <c r="CC712" s="24"/>
      <c r="CD712" s="24"/>
    </row>
    <row r="713" spans="2:82" ht="16.5" customHeight="1" x14ac:dyDescent="0.3">
      <c r="B713" s="26"/>
      <c r="C713" s="26"/>
      <c r="D713" s="26"/>
      <c r="E713" s="26"/>
      <c r="F713" s="26"/>
      <c r="G713" s="26"/>
      <c r="H713" s="24"/>
      <c r="I713" s="27"/>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c r="BC713" s="24"/>
      <c r="BD713" s="24"/>
      <c r="BE713" s="24"/>
      <c r="BF713" s="24"/>
      <c r="BG713" s="24"/>
      <c r="BH713" s="24"/>
      <c r="BI713" s="24"/>
      <c r="BJ713" s="24"/>
      <c r="BK713" s="24"/>
      <c r="BL713" s="24"/>
      <c r="BM713" s="24"/>
      <c r="BN713" s="24"/>
      <c r="BO713" s="24"/>
      <c r="BP713" s="24"/>
      <c r="BQ713" s="24"/>
      <c r="BR713" s="24"/>
      <c r="BS713" s="24"/>
      <c r="BT713" s="24"/>
      <c r="BU713" s="24"/>
      <c r="BV713" s="24"/>
      <c r="BW713" s="24"/>
      <c r="BX713" s="24"/>
      <c r="BY713" s="24"/>
      <c r="BZ713" s="24"/>
      <c r="CA713" s="24"/>
      <c r="CB713" s="24"/>
      <c r="CC713" s="24"/>
      <c r="CD713" s="24"/>
    </row>
    <row r="714" spans="2:82" ht="16.5" customHeight="1" x14ac:dyDescent="0.3">
      <c r="B714" s="26"/>
      <c r="C714" s="26"/>
      <c r="D714" s="26"/>
      <c r="E714" s="26"/>
      <c r="F714" s="26"/>
      <c r="G714" s="26"/>
      <c r="H714" s="24"/>
      <c r="I714" s="27"/>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C714" s="24"/>
      <c r="BD714" s="24"/>
      <c r="BE714" s="24"/>
      <c r="BF714" s="24"/>
      <c r="BG714" s="24"/>
      <c r="BH714" s="24"/>
      <c r="BI714" s="24"/>
      <c r="BJ714" s="24"/>
      <c r="BK714" s="24"/>
      <c r="BL714" s="24"/>
      <c r="BM714" s="24"/>
      <c r="BN714" s="24"/>
      <c r="BO714" s="24"/>
      <c r="BP714" s="24"/>
      <c r="BQ714" s="24"/>
      <c r="BR714" s="24"/>
      <c r="BS714" s="24"/>
      <c r="BT714" s="24"/>
      <c r="BU714" s="24"/>
      <c r="BV714" s="24"/>
      <c r="BW714" s="24"/>
      <c r="BX714" s="24"/>
      <c r="BY714" s="24"/>
      <c r="BZ714" s="24"/>
      <c r="CA714" s="24"/>
      <c r="CB714" s="24"/>
      <c r="CC714" s="24"/>
      <c r="CD714" s="24"/>
    </row>
    <row r="715" spans="2:82" ht="16.5" customHeight="1" x14ac:dyDescent="0.3">
      <c r="B715" s="26"/>
      <c r="C715" s="26"/>
      <c r="D715" s="26"/>
      <c r="E715" s="26"/>
      <c r="F715" s="26"/>
      <c r="G715" s="26"/>
      <c r="H715" s="24"/>
      <c r="I715" s="27"/>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c r="BC715" s="24"/>
      <c r="BD715" s="24"/>
      <c r="BE715" s="24"/>
      <c r="BF715" s="24"/>
      <c r="BG715" s="24"/>
      <c r="BH715" s="24"/>
      <c r="BI715" s="24"/>
      <c r="BJ715" s="24"/>
      <c r="BK715" s="24"/>
      <c r="BL715" s="24"/>
      <c r="BM715" s="24"/>
      <c r="BN715" s="24"/>
      <c r="BO715" s="24"/>
      <c r="BP715" s="24"/>
      <c r="BQ715" s="24"/>
      <c r="BR715" s="24"/>
      <c r="BS715" s="24"/>
      <c r="BT715" s="24"/>
      <c r="BU715" s="24"/>
      <c r="BV715" s="24"/>
      <c r="BW715" s="24"/>
      <c r="BX715" s="24"/>
      <c r="BY715" s="24"/>
      <c r="BZ715" s="24"/>
      <c r="CA715" s="24"/>
      <c r="CB715" s="24"/>
      <c r="CC715" s="24"/>
      <c r="CD715" s="24"/>
    </row>
    <row r="716" spans="2:82" ht="16.5" customHeight="1" x14ac:dyDescent="0.3">
      <c r="B716" s="26"/>
      <c r="C716" s="26"/>
      <c r="D716" s="26"/>
      <c r="E716" s="26"/>
      <c r="F716" s="26"/>
      <c r="G716" s="26"/>
      <c r="H716" s="24"/>
      <c r="I716" s="27"/>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c r="BC716" s="24"/>
      <c r="BD716" s="24"/>
      <c r="BE716" s="24"/>
      <c r="BF716" s="24"/>
      <c r="BG716" s="24"/>
      <c r="BH716" s="24"/>
      <c r="BI716" s="24"/>
      <c r="BJ716" s="24"/>
      <c r="BK716" s="24"/>
      <c r="BL716" s="24"/>
      <c r="BM716" s="24"/>
      <c r="BN716" s="24"/>
      <c r="BO716" s="24"/>
      <c r="BP716" s="24"/>
      <c r="BQ716" s="24"/>
      <c r="BR716" s="24"/>
      <c r="BS716" s="24"/>
      <c r="BT716" s="24"/>
      <c r="BU716" s="24"/>
      <c r="BV716" s="24"/>
      <c r="BW716" s="24"/>
      <c r="BX716" s="24"/>
      <c r="BY716" s="24"/>
      <c r="BZ716" s="24"/>
      <c r="CA716" s="24"/>
      <c r="CB716" s="24"/>
      <c r="CC716" s="24"/>
      <c r="CD716" s="24"/>
    </row>
    <row r="717" spans="2:82" ht="16.5" customHeight="1" x14ac:dyDescent="0.3">
      <c r="B717" s="26"/>
      <c r="C717" s="26"/>
      <c r="D717" s="26"/>
      <c r="E717" s="26"/>
      <c r="F717" s="26"/>
      <c r="G717" s="26"/>
      <c r="H717" s="24"/>
      <c r="I717" s="27"/>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c r="BA717" s="24"/>
      <c r="BB717" s="24"/>
      <c r="BC717" s="24"/>
      <c r="BD717" s="24"/>
      <c r="BE717" s="24"/>
      <c r="BF717" s="24"/>
      <c r="BG717" s="24"/>
      <c r="BH717" s="24"/>
      <c r="BI717" s="24"/>
      <c r="BJ717" s="24"/>
      <c r="BK717" s="24"/>
      <c r="BL717" s="24"/>
      <c r="BM717" s="24"/>
      <c r="BN717" s="24"/>
      <c r="BO717" s="24"/>
      <c r="BP717" s="24"/>
      <c r="BQ717" s="24"/>
      <c r="BR717" s="24"/>
      <c r="BS717" s="24"/>
      <c r="BT717" s="24"/>
      <c r="BU717" s="24"/>
      <c r="BV717" s="24"/>
      <c r="BW717" s="24"/>
      <c r="BX717" s="24"/>
      <c r="BY717" s="24"/>
      <c r="BZ717" s="24"/>
      <c r="CA717" s="24"/>
      <c r="CB717" s="24"/>
      <c r="CC717" s="24"/>
      <c r="CD717" s="24"/>
    </row>
    <row r="718" spans="2:82" ht="16.5" customHeight="1" x14ac:dyDescent="0.3">
      <c r="B718" s="26"/>
      <c r="C718" s="26"/>
      <c r="D718" s="26"/>
      <c r="E718" s="26"/>
      <c r="F718" s="26"/>
      <c r="G718" s="26"/>
      <c r="H718" s="24"/>
      <c r="I718" s="27"/>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c r="BA718" s="24"/>
      <c r="BB718" s="24"/>
      <c r="BC718" s="24"/>
      <c r="BD718" s="24"/>
      <c r="BE718" s="24"/>
      <c r="BF718" s="24"/>
      <c r="BG718" s="24"/>
      <c r="BH718" s="24"/>
      <c r="BI718" s="24"/>
      <c r="BJ718" s="24"/>
      <c r="BK718" s="24"/>
      <c r="BL718" s="24"/>
      <c r="BM718" s="24"/>
      <c r="BN718" s="24"/>
      <c r="BO718" s="24"/>
      <c r="BP718" s="24"/>
      <c r="BQ718" s="24"/>
      <c r="BR718" s="24"/>
      <c r="BS718" s="24"/>
      <c r="BT718" s="24"/>
      <c r="BU718" s="24"/>
      <c r="BV718" s="24"/>
      <c r="BW718" s="24"/>
      <c r="BX718" s="24"/>
      <c r="BY718" s="24"/>
      <c r="BZ718" s="24"/>
      <c r="CA718" s="24"/>
      <c r="CB718" s="24"/>
      <c r="CC718" s="24"/>
      <c r="CD718" s="24"/>
    </row>
    <row r="719" spans="2:82" ht="16.5" customHeight="1" x14ac:dyDescent="0.3">
      <c r="B719" s="26"/>
      <c r="C719" s="26"/>
      <c r="D719" s="26"/>
      <c r="E719" s="26"/>
      <c r="F719" s="26"/>
      <c r="G719" s="26"/>
      <c r="H719" s="24"/>
      <c r="I719" s="27"/>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c r="BA719" s="24"/>
      <c r="BB719" s="24"/>
      <c r="BC719" s="24"/>
      <c r="BD719" s="24"/>
      <c r="BE719" s="24"/>
      <c r="BF719" s="24"/>
      <c r="BG719" s="24"/>
      <c r="BH719" s="24"/>
      <c r="BI719" s="24"/>
      <c r="BJ719" s="24"/>
      <c r="BK719" s="24"/>
      <c r="BL719" s="24"/>
      <c r="BM719" s="24"/>
      <c r="BN719" s="24"/>
      <c r="BO719" s="24"/>
      <c r="BP719" s="24"/>
      <c r="BQ719" s="24"/>
      <c r="BR719" s="24"/>
      <c r="BS719" s="24"/>
      <c r="BT719" s="24"/>
      <c r="BU719" s="24"/>
      <c r="BV719" s="24"/>
      <c r="BW719" s="24"/>
      <c r="BX719" s="24"/>
      <c r="BY719" s="24"/>
      <c r="BZ719" s="24"/>
      <c r="CA719" s="24"/>
      <c r="CB719" s="24"/>
      <c r="CC719" s="24"/>
      <c r="CD719" s="24"/>
    </row>
    <row r="720" spans="2:82" ht="16.5" customHeight="1" x14ac:dyDescent="0.3">
      <c r="B720" s="26"/>
      <c r="C720" s="26"/>
      <c r="D720" s="26"/>
      <c r="E720" s="26"/>
      <c r="F720" s="26"/>
      <c r="G720" s="26"/>
      <c r="H720" s="24"/>
      <c r="I720" s="27"/>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c r="BA720" s="24"/>
      <c r="BB720" s="24"/>
      <c r="BC720" s="24"/>
      <c r="BD720" s="24"/>
      <c r="BE720" s="24"/>
      <c r="BF720" s="24"/>
      <c r="BG720" s="24"/>
      <c r="BH720" s="24"/>
      <c r="BI720" s="24"/>
      <c r="BJ720" s="24"/>
      <c r="BK720" s="24"/>
      <c r="BL720" s="24"/>
      <c r="BM720" s="24"/>
      <c r="BN720" s="24"/>
      <c r="BO720" s="24"/>
      <c r="BP720" s="24"/>
      <c r="BQ720" s="24"/>
      <c r="BR720" s="24"/>
      <c r="BS720" s="24"/>
      <c r="BT720" s="24"/>
      <c r="BU720" s="24"/>
      <c r="BV720" s="24"/>
      <c r="BW720" s="24"/>
      <c r="BX720" s="24"/>
      <c r="BY720" s="24"/>
      <c r="BZ720" s="24"/>
      <c r="CA720" s="24"/>
      <c r="CB720" s="24"/>
      <c r="CC720" s="24"/>
      <c r="CD720" s="24"/>
    </row>
    <row r="721" spans="2:82" ht="16.5" customHeight="1" x14ac:dyDescent="0.3">
      <c r="B721" s="26"/>
      <c r="C721" s="26"/>
      <c r="D721" s="26"/>
      <c r="E721" s="26"/>
      <c r="F721" s="26"/>
      <c r="G721" s="26"/>
      <c r="H721" s="24"/>
      <c r="I721" s="27"/>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c r="BA721" s="24"/>
      <c r="BB721" s="24"/>
      <c r="BC721" s="24"/>
      <c r="BD721" s="24"/>
      <c r="BE721" s="24"/>
      <c r="BF721" s="24"/>
      <c r="BG721" s="24"/>
      <c r="BH721" s="24"/>
      <c r="BI721" s="24"/>
      <c r="BJ721" s="24"/>
      <c r="BK721" s="24"/>
      <c r="BL721" s="24"/>
      <c r="BM721" s="24"/>
      <c r="BN721" s="24"/>
      <c r="BO721" s="24"/>
      <c r="BP721" s="24"/>
      <c r="BQ721" s="24"/>
      <c r="BR721" s="24"/>
      <c r="BS721" s="24"/>
      <c r="BT721" s="24"/>
      <c r="BU721" s="24"/>
      <c r="BV721" s="24"/>
      <c r="BW721" s="24"/>
      <c r="BX721" s="24"/>
      <c r="BY721" s="24"/>
      <c r="BZ721" s="24"/>
      <c r="CA721" s="24"/>
      <c r="CB721" s="24"/>
      <c r="CC721" s="24"/>
      <c r="CD721" s="24"/>
    </row>
    <row r="722" spans="2:82" ht="16.5" customHeight="1" x14ac:dyDescent="0.3">
      <c r="B722" s="26"/>
      <c r="C722" s="26"/>
      <c r="D722" s="26"/>
      <c r="E722" s="26"/>
      <c r="F722" s="26"/>
      <c r="G722" s="26"/>
      <c r="H722" s="24"/>
      <c r="I722" s="27"/>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c r="BA722" s="24"/>
      <c r="BB722" s="24"/>
      <c r="BC722" s="24"/>
      <c r="BD722" s="24"/>
      <c r="BE722" s="24"/>
      <c r="BF722" s="24"/>
      <c r="BG722" s="24"/>
      <c r="BH722" s="24"/>
      <c r="BI722" s="24"/>
      <c r="BJ722" s="24"/>
      <c r="BK722" s="24"/>
      <c r="BL722" s="24"/>
      <c r="BM722" s="24"/>
      <c r="BN722" s="24"/>
      <c r="BO722" s="24"/>
      <c r="BP722" s="24"/>
      <c r="BQ722" s="24"/>
      <c r="BR722" s="24"/>
      <c r="BS722" s="24"/>
      <c r="BT722" s="24"/>
      <c r="BU722" s="24"/>
      <c r="BV722" s="24"/>
      <c r="BW722" s="24"/>
      <c r="BX722" s="24"/>
      <c r="BY722" s="24"/>
      <c r="BZ722" s="24"/>
      <c r="CA722" s="24"/>
      <c r="CB722" s="24"/>
      <c r="CC722" s="24"/>
      <c r="CD722" s="24"/>
    </row>
    <row r="723" spans="2:82" ht="16.5" customHeight="1" x14ac:dyDescent="0.3">
      <c r="B723" s="26"/>
      <c r="C723" s="26"/>
      <c r="D723" s="26"/>
      <c r="E723" s="26"/>
      <c r="F723" s="26"/>
      <c r="G723" s="26"/>
      <c r="H723" s="24"/>
      <c r="I723" s="27"/>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c r="BA723" s="24"/>
      <c r="BB723" s="24"/>
      <c r="BC723" s="24"/>
      <c r="BD723" s="24"/>
      <c r="BE723" s="24"/>
      <c r="BF723" s="24"/>
      <c r="BG723" s="24"/>
      <c r="BH723" s="24"/>
      <c r="BI723" s="24"/>
      <c r="BJ723" s="24"/>
      <c r="BK723" s="24"/>
      <c r="BL723" s="24"/>
      <c r="BM723" s="24"/>
      <c r="BN723" s="24"/>
      <c r="BO723" s="24"/>
      <c r="BP723" s="24"/>
      <c r="BQ723" s="24"/>
      <c r="BR723" s="24"/>
      <c r="BS723" s="24"/>
      <c r="BT723" s="24"/>
      <c r="BU723" s="24"/>
      <c r="BV723" s="24"/>
      <c r="BW723" s="24"/>
      <c r="BX723" s="24"/>
      <c r="BY723" s="24"/>
      <c r="BZ723" s="24"/>
      <c r="CA723" s="24"/>
      <c r="CB723" s="24"/>
      <c r="CC723" s="24"/>
      <c r="CD723" s="24"/>
    </row>
    <row r="724" spans="2:82" ht="16.5" customHeight="1" x14ac:dyDescent="0.3">
      <c r="B724" s="26"/>
      <c r="C724" s="26"/>
      <c r="D724" s="26"/>
      <c r="E724" s="26"/>
      <c r="F724" s="26"/>
      <c r="G724" s="26"/>
      <c r="H724" s="24"/>
      <c r="I724" s="27"/>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c r="BA724" s="24"/>
      <c r="BB724" s="24"/>
      <c r="BC724" s="24"/>
      <c r="BD724" s="24"/>
      <c r="BE724" s="24"/>
      <c r="BF724" s="24"/>
      <c r="BG724" s="24"/>
      <c r="BH724" s="24"/>
      <c r="BI724" s="24"/>
      <c r="BJ724" s="24"/>
      <c r="BK724" s="24"/>
      <c r="BL724" s="24"/>
      <c r="BM724" s="24"/>
      <c r="BN724" s="24"/>
      <c r="BO724" s="24"/>
      <c r="BP724" s="24"/>
      <c r="BQ724" s="24"/>
      <c r="BR724" s="24"/>
      <c r="BS724" s="24"/>
      <c r="BT724" s="24"/>
      <c r="BU724" s="24"/>
      <c r="BV724" s="24"/>
      <c r="BW724" s="24"/>
      <c r="BX724" s="24"/>
      <c r="BY724" s="24"/>
      <c r="BZ724" s="24"/>
      <c r="CA724" s="24"/>
      <c r="CB724" s="24"/>
      <c r="CC724" s="24"/>
      <c r="CD724" s="24"/>
    </row>
    <row r="725" spans="2:82" ht="16.5" customHeight="1" x14ac:dyDescent="0.3">
      <c r="B725" s="26"/>
      <c r="C725" s="26"/>
      <c r="D725" s="26"/>
      <c r="E725" s="26"/>
      <c r="F725" s="26"/>
      <c r="G725" s="26"/>
      <c r="H725" s="24"/>
      <c r="I725" s="27"/>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c r="BA725" s="24"/>
      <c r="BB725" s="24"/>
      <c r="BC725" s="24"/>
      <c r="BD725" s="24"/>
      <c r="BE725" s="24"/>
      <c r="BF725" s="24"/>
      <c r="BG725" s="24"/>
      <c r="BH725" s="24"/>
      <c r="BI725" s="24"/>
      <c r="BJ725" s="24"/>
      <c r="BK725" s="24"/>
      <c r="BL725" s="24"/>
      <c r="BM725" s="24"/>
      <c r="BN725" s="24"/>
      <c r="BO725" s="24"/>
      <c r="BP725" s="24"/>
      <c r="BQ725" s="24"/>
      <c r="BR725" s="24"/>
      <c r="BS725" s="24"/>
      <c r="BT725" s="24"/>
      <c r="BU725" s="24"/>
      <c r="BV725" s="24"/>
      <c r="BW725" s="24"/>
      <c r="BX725" s="24"/>
      <c r="BY725" s="24"/>
      <c r="BZ725" s="24"/>
      <c r="CA725" s="24"/>
      <c r="CB725" s="24"/>
      <c r="CC725" s="24"/>
      <c r="CD725" s="24"/>
    </row>
    <row r="726" spans="2:82" ht="16.5" customHeight="1" x14ac:dyDescent="0.3">
      <c r="B726" s="26"/>
      <c r="C726" s="26"/>
      <c r="D726" s="26"/>
      <c r="E726" s="26"/>
      <c r="F726" s="26"/>
      <c r="G726" s="26"/>
      <c r="H726" s="24"/>
      <c r="I726" s="27"/>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c r="BA726" s="24"/>
      <c r="BB726" s="24"/>
      <c r="BC726" s="24"/>
      <c r="BD726" s="24"/>
      <c r="BE726" s="24"/>
      <c r="BF726" s="24"/>
      <c r="BG726" s="24"/>
      <c r="BH726" s="24"/>
      <c r="BI726" s="24"/>
      <c r="BJ726" s="24"/>
      <c r="BK726" s="24"/>
      <c r="BL726" s="24"/>
      <c r="BM726" s="24"/>
      <c r="BN726" s="24"/>
      <c r="BO726" s="24"/>
      <c r="BP726" s="24"/>
      <c r="BQ726" s="24"/>
      <c r="BR726" s="24"/>
      <c r="BS726" s="24"/>
      <c r="BT726" s="24"/>
      <c r="BU726" s="24"/>
      <c r="BV726" s="24"/>
      <c r="BW726" s="24"/>
      <c r="BX726" s="24"/>
      <c r="BY726" s="24"/>
      <c r="BZ726" s="24"/>
      <c r="CA726" s="24"/>
      <c r="CB726" s="24"/>
      <c r="CC726" s="24"/>
      <c r="CD726" s="24"/>
    </row>
    <row r="727" spans="2:82" ht="16.5" customHeight="1" x14ac:dyDescent="0.3">
      <c r="B727" s="26"/>
      <c r="C727" s="26"/>
      <c r="D727" s="26"/>
      <c r="E727" s="26"/>
      <c r="F727" s="26"/>
      <c r="G727" s="26"/>
      <c r="H727" s="24"/>
      <c r="I727" s="27"/>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c r="BA727" s="24"/>
      <c r="BB727" s="24"/>
      <c r="BC727" s="24"/>
      <c r="BD727" s="24"/>
      <c r="BE727" s="24"/>
      <c r="BF727" s="24"/>
      <c r="BG727" s="24"/>
      <c r="BH727" s="24"/>
      <c r="BI727" s="24"/>
      <c r="BJ727" s="24"/>
      <c r="BK727" s="24"/>
      <c r="BL727" s="24"/>
      <c r="BM727" s="24"/>
      <c r="BN727" s="24"/>
      <c r="BO727" s="24"/>
      <c r="BP727" s="24"/>
      <c r="BQ727" s="24"/>
      <c r="BR727" s="24"/>
      <c r="BS727" s="24"/>
      <c r="BT727" s="24"/>
      <c r="BU727" s="24"/>
      <c r="BV727" s="24"/>
      <c r="BW727" s="24"/>
      <c r="BX727" s="24"/>
      <c r="BY727" s="24"/>
      <c r="BZ727" s="24"/>
      <c r="CA727" s="24"/>
      <c r="CB727" s="24"/>
      <c r="CC727" s="24"/>
      <c r="CD727" s="24"/>
    </row>
    <row r="728" spans="2:82" ht="16.5" customHeight="1" x14ac:dyDescent="0.3">
      <c r="B728" s="26"/>
      <c r="C728" s="26"/>
      <c r="D728" s="26"/>
      <c r="E728" s="26"/>
      <c r="F728" s="26"/>
      <c r="G728" s="26"/>
      <c r="H728" s="24"/>
      <c r="I728" s="27"/>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row>
    <row r="729" spans="2:82" ht="16.5" customHeight="1" x14ac:dyDescent="0.3">
      <c r="B729" s="26"/>
      <c r="C729" s="26"/>
      <c r="D729" s="26"/>
      <c r="E729" s="26"/>
      <c r="F729" s="26"/>
      <c r="G729" s="26"/>
      <c r="H729" s="24"/>
      <c r="I729" s="27"/>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c r="BF729" s="24"/>
      <c r="BG729" s="24"/>
      <c r="BH729" s="24"/>
      <c r="BI729" s="24"/>
      <c r="BJ729" s="24"/>
      <c r="BK729" s="24"/>
      <c r="BL729" s="24"/>
      <c r="BM729" s="24"/>
      <c r="BN729" s="24"/>
      <c r="BO729" s="24"/>
      <c r="BP729" s="24"/>
      <c r="BQ729" s="24"/>
      <c r="BR729" s="24"/>
      <c r="BS729" s="24"/>
      <c r="BT729" s="24"/>
      <c r="BU729" s="24"/>
      <c r="BV729" s="24"/>
      <c r="BW729" s="24"/>
      <c r="BX729" s="24"/>
      <c r="BY729" s="24"/>
      <c r="BZ729" s="24"/>
      <c r="CA729" s="24"/>
      <c r="CB729" s="24"/>
      <c r="CC729" s="24"/>
      <c r="CD729" s="24"/>
    </row>
    <row r="730" spans="2:82" ht="16.5" customHeight="1" x14ac:dyDescent="0.3">
      <c r="B730" s="26"/>
      <c r="C730" s="26"/>
      <c r="D730" s="26"/>
      <c r="E730" s="26"/>
      <c r="F730" s="26"/>
      <c r="G730" s="26"/>
      <c r="H730" s="24"/>
      <c r="I730" s="27"/>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c r="BF730" s="24"/>
      <c r="BG730" s="24"/>
      <c r="BH730" s="24"/>
      <c r="BI730" s="24"/>
      <c r="BJ730" s="24"/>
      <c r="BK730" s="24"/>
      <c r="BL730" s="24"/>
      <c r="BM730" s="24"/>
      <c r="BN730" s="24"/>
      <c r="BO730" s="24"/>
      <c r="BP730" s="24"/>
      <c r="BQ730" s="24"/>
      <c r="BR730" s="24"/>
      <c r="BS730" s="24"/>
      <c r="BT730" s="24"/>
      <c r="BU730" s="24"/>
      <c r="BV730" s="24"/>
      <c r="BW730" s="24"/>
      <c r="BX730" s="24"/>
      <c r="BY730" s="24"/>
      <c r="BZ730" s="24"/>
      <c r="CA730" s="24"/>
      <c r="CB730" s="24"/>
      <c r="CC730" s="24"/>
      <c r="CD730" s="24"/>
    </row>
    <row r="731" spans="2:82" ht="16.5" customHeight="1" x14ac:dyDescent="0.3">
      <c r="B731" s="26"/>
      <c r="C731" s="26"/>
      <c r="D731" s="26"/>
      <c r="E731" s="26"/>
      <c r="F731" s="26"/>
      <c r="G731" s="26"/>
      <c r="H731" s="24"/>
      <c r="I731" s="27"/>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c r="BF731" s="24"/>
      <c r="BG731" s="24"/>
      <c r="BH731" s="24"/>
      <c r="BI731" s="24"/>
      <c r="BJ731" s="24"/>
      <c r="BK731" s="24"/>
      <c r="BL731" s="24"/>
      <c r="BM731" s="24"/>
      <c r="BN731" s="24"/>
      <c r="BO731" s="24"/>
      <c r="BP731" s="24"/>
      <c r="BQ731" s="24"/>
      <c r="BR731" s="24"/>
      <c r="BS731" s="24"/>
      <c r="BT731" s="24"/>
      <c r="BU731" s="24"/>
      <c r="BV731" s="24"/>
      <c r="BW731" s="24"/>
      <c r="BX731" s="24"/>
      <c r="BY731" s="24"/>
      <c r="BZ731" s="24"/>
      <c r="CA731" s="24"/>
      <c r="CB731" s="24"/>
      <c r="CC731" s="24"/>
      <c r="CD731" s="24"/>
    </row>
    <row r="732" spans="2:82" ht="16.5" customHeight="1" x14ac:dyDescent="0.3">
      <c r="B732" s="26"/>
      <c r="C732" s="26"/>
      <c r="D732" s="26"/>
      <c r="E732" s="26"/>
      <c r="F732" s="26"/>
      <c r="G732" s="26"/>
      <c r="H732" s="24"/>
      <c r="I732" s="27"/>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c r="BF732" s="24"/>
      <c r="BG732" s="24"/>
      <c r="BH732" s="24"/>
      <c r="BI732" s="24"/>
      <c r="BJ732" s="24"/>
      <c r="BK732" s="24"/>
      <c r="BL732" s="24"/>
      <c r="BM732" s="24"/>
      <c r="BN732" s="24"/>
      <c r="BO732" s="24"/>
      <c r="BP732" s="24"/>
      <c r="BQ732" s="24"/>
      <c r="BR732" s="24"/>
      <c r="BS732" s="24"/>
      <c r="BT732" s="24"/>
      <c r="BU732" s="24"/>
      <c r="BV732" s="24"/>
      <c r="BW732" s="24"/>
      <c r="BX732" s="24"/>
      <c r="BY732" s="24"/>
      <c r="BZ732" s="24"/>
      <c r="CA732" s="24"/>
      <c r="CB732" s="24"/>
      <c r="CC732" s="24"/>
      <c r="CD732" s="24"/>
    </row>
    <row r="733" spans="2:82" ht="16.5" customHeight="1" x14ac:dyDescent="0.3">
      <c r="B733" s="26"/>
      <c r="C733" s="26"/>
      <c r="D733" s="26"/>
      <c r="E733" s="26"/>
      <c r="F733" s="26"/>
      <c r="G733" s="26"/>
      <c r="H733" s="24"/>
      <c r="I733" s="27"/>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C733" s="24"/>
      <c r="BD733" s="24"/>
      <c r="BE733" s="24"/>
      <c r="BF733" s="24"/>
      <c r="BG733" s="24"/>
      <c r="BH733" s="24"/>
      <c r="BI733" s="24"/>
      <c r="BJ733" s="24"/>
      <c r="BK733" s="24"/>
      <c r="BL733" s="24"/>
      <c r="BM733" s="24"/>
      <c r="BN733" s="24"/>
      <c r="BO733" s="24"/>
      <c r="BP733" s="24"/>
      <c r="BQ733" s="24"/>
      <c r="BR733" s="24"/>
      <c r="BS733" s="24"/>
      <c r="BT733" s="24"/>
      <c r="BU733" s="24"/>
      <c r="BV733" s="24"/>
      <c r="BW733" s="24"/>
      <c r="BX733" s="24"/>
      <c r="BY733" s="24"/>
      <c r="BZ733" s="24"/>
      <c r="CA733" s="24"/>
      <c r="CB733" s="24"/>
      <c r="CC733" s="24"/>
      <c r="CD733" s="24"/>
    </row>
    <row r="734" spans="2:82" ht="16.5" customHeight="1" x14ac:dyDescent="0.3">
      <c r="B734" s="26"/>
      <c r="C734" s="26"/>
      <c r="D734" s="26"/>
      <c r="E734" s="26"/>
      <c r="F734" s="26"/>
      <c r="G734" s="26"/>
      <c r="H734" s="24"/>
      <c r="I734" s="27"/>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c r="BC734" s="24"/>
      <c r="BD734" s="24"/>
      <c r="BE734" s="24"/>
      <c r="BF734" s="24"/>
      <c r="BG734" s="24"/>
      <c r="BH734" s="24"/>
      <c r="BI734" s="24"/>
      <c r="BJ734" s="24"/>
      <c r="BK734" s="24"/>
      <c r="BL734" s="24"/>
      <c r="BM734" s="24"/>
      <c r="BN734" s="24"/>
      <c r="BO734" s="24"/>
      <c r="BP734" s="24"/>
      <c r="BQ734" s="24"/>
      <c r="BR734" s="24"/>
      <c r="BS734" s="24"/>
      <c r="BT734" s="24"/>
      <c r="BU734" s="24"/>
      <c r="BV734" s="24"/>
      <c r="BW734" s="24"/>
      <c r="BX734" s="24"/>
      <c r="BY734" s="24"/>
      <c r="BZ734" s="24"/>
      <c r="CA734" s="24"/>
      <c r="CB734" s="24"/>
      <c r="CC734" s="24"/>
      <c r="CD734" s="24"/>
    </row>
    <row r="735" spans="2:82" ht="16.5" customHeight="1" x14ac:dyDescent="0.3">
      <c r="B735" s="26"/>
      <c r="C735" s="26"/>
      <c r="D735" s="26"/>
      <c r="E735" s="26"/>
      <c r="F735" s="26"/>
      <c r="G735" s="26"/>
      <c r="H735" s="24"/>
      <c r="I735" s="27"/>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c r="BC735" s="24"/>
      <c r="BD735" s="24"/>
      <c r="BE735" s="24"/>
      <c r="BF735" s="24"/>
      <c r="BG735" s="24"/>
      <c r="BH735" s="24"/>
      <c r="BI735" s="24"/>
      <c r="BJ735" s="24"/>
      <c r="BK735" s="24"/>
      <c r="BL735" s="24"/>
      <c r="BM735" s="24"/>
      <c r="BN735" s="24"/>
      <c r="BO735" s="24"/>
      <c r="BP735" s="24"/>
      <c r="BQ735" s="24"/>
      <c r="BR735" s="24"/>
      <c r="BS735" s="24"/>
      <c r="BT735" s="24"/>
      <c r="BU735" s="24"/>
      <c r="BV735" s="24"/>
      <c r="BW735" s="24"/>
      <c r="BX735" s="24"/>
      <c r="BY735" s="24"/>
      <c r="BZ735" s="24"/>
      <c r="CA735" s="24"/>
      <c r="CB735" s="24"/>
      <c r="CC735" s="24"/>
      <c r="CD735" s="24"/>
    </row>
    <row r="736" spans="2:82" ht="16.5" customHeight="1" x14ac:dyDescent="0.3">
      <c r="B736" s="26"/>
      <c r="C736" s="26"/>
      <c r="D736" s="26"/>
      <c r="E736" s="26"/>
      <c r="F736" s="26"/>
      <c r="G736" s="26"/>
      <c r="H736" s="24"/>
      <c r="I736" s="27"/>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c r="BA736" s="24"/>
      <c r="BB736" s="24"/>
      <c r="BC736" s="24"/>
      <c r="BD736" s="24"/>
      <c r="BE736" s="24"/>
      <c r="BF736" s="24"/>
      <c r="BG736" s="24"/>
      <c r="BH736" s="24"/>
      <c r="BI736" s="24"/>
      <c r="BJ736" s="24"/>
      <c r="BK736" s="24"/>
      <c r="BL736" s="24"/>
      <c r="BM736" s="24"/>
      <c r="BN736" s="24"/>
      <c r="BO736" s="24"/>
      <c r="BP736" s="24"/>
      <c r="BQ736" s="24"/>
      <c r="BR736" s="24"/>
      <c r="BS736" s="24"/>
      <c r="BT736" s="24"/>
      <c r="BU736" s="24"/>
      <c r="BV736" s="24"/>
      <c r="BW736" s="24"/>
      <c r="BX736" s="24"/>
      <c r="BY736" s="24"/>
      <c r="BZ736" s="24"/>
      <c r="CA736" s="24"/>
      <c r="CB736" s="24"/>
      <c r="CC736" s="24"/>
      <c r="CD736" s="24"/>
    </row>
    <row r="737" spans="2:82" ht="16.5" customHeight="1" x14ac:dyDescent="0.3">
      <c r="B737" s="26"/>
      <c r="C737" s="26"/>
      <c r="D737" s="26"/>
      <c r="E737" s="26"/>
      <c r="F737" s="26"/>
      <c r="G737" s="26"/>
      <c r="H737" s="24"/>
      <c r="I737" s="27"/>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c r="BA737" s="24"/>
      <c r="BB737" s="24"/>
      <c r="BC737" s="24"/>
      <c r="BD737" s="24"/>
      <c r="BE737" s="24"/>
      <c r="BF737" s="24"/>
      <c r="BG737" s="24"/>
      <c r="BH737" s="24"/>
      <c r="BI737" s="24"/>
      <c r="BJ737" s="24"/>
      <c r="BK737" s="24"/>
      <c r="BL737" s="24"/>
      <c r="BM737" s="24"/>
      <c r="BN737" s="24"/>
      <c r="BO737" s="24"/>
      <c r="BP737" s="24"/>
      <c r="BQ737" s="24"/>
      <c r="BR737" s="24"/>
      <c r="BS737" s="24"/>
      <c r="BT737" s="24"/>
      <c r="BU737" s="24"/>
      <c r="BV737" s="24"/>
      <c r="BW737" s="24"/>
      <c r="BX737" s="24"/>
      <c r="BY737" s="24"/>
      <c r="BZ737" s="24"/>
      <c r="CA737" s="24"/>
      <c r="CB737" s="24"/>
      <c r="CC737" s="24"/>
      <c r="CD737" s="24"/>
    </row>
    <row r="738" spans="2:82" ht="16.5" customHeight="1" x14ac:dyDescent="0.3">
      <c r="B738" s="26"/>
      <c r="C738" s="26"/>
      <c r="D738" s="26"/>
      <c r="E738" s="26"/>
      <c r="F738" s="26"/>
      <c r="G738" s="26"/>
      <c r="H738" s="24"/>
      <c r="I738" s="27"/>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c r="BA738" s="24"/>
      <c r="BB738" s="24"/>
      <c r="BC738" s="24"/>
      <c r="BD738" s="24"/>
      <c r="BE738" s="24"/>
      <c r="BF738" s="24"/>
      <c r="BG738" s="24"/>
      <c r="BH738" s="24"/>
      <c r="BI738" s="24"/>
      <c r="BJ738" s="24"/>
      <c r="BK738" s="24"/>
      <c r="BL738" s="24"/>
      <c r="BM738" s="24"/>
      <c r="BN738" s="24"/>
      <c r="BO738" s="24"/>
      <c r="BP738" s="24"/>
      <c r="BQ738" s="24"/>
      <c r="BR738" s="24"/>
      <c r="BS738" s="24"/>
      <c r="BT738" s="24"/>
      <c r="BU738" s="24"/>
      <c r="BV738" s="24"/>
      <c r="BW738" s="24"/>
      <c r="BX738" s="24"/>
      <c r="BY738" s="24"/>
      <c r="BZ738" s="24"/>
      <c r="CA738" s="24"/>
      <c r="CB738" s="24"/>
      <c r="CC738" s="24"/>
      <c r="CD738" s="24"/>
    </row>
    <row r="739" spans="2:82" ht="16.5" customHeight="1" x14ac:dyDescent="0.3">
      <c r="B739" s="26"/>
      <c r="C739" s="26"/>
      <c r="D739" s="26"/>
      <c r="E739" s="26"/>
      <c r="F739" s="26"/>
      <c r="G739" s="26"/>
      <c r="H739" s="24"/>
      <c r="I739" s="27"/>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c r="BA739" s="24"/>
      <c r="BB739" s="24"/>
      <c r="BC739" s="24"/>
      <c r="BD739" s="24"/>
      <c r="BE739" s="24"/>
      <c r="BF739" s="24"/>
      <c r="BG739" s="24"/>
      <c r="BH739" s="24"/>
      <c r="BI739" s="24"/>
      <c r="BJ739" s="24"/>
      <c r="BK739" s="24"/>
      <c r="BL739" s="24"/>
      <c r="BM739" s="24"/>
      <c r="BN739" s="24"/>
      <c r="BO739" s="24"/>
      <c r="BP739" s="24"/>
      <c r="BQ739" s="24"/>
      <c r="BR739" s="24"/>
      <c r="BS739" s="24"/>
      <c r="BT739" s="24"/>
      <c r="BU739" s="24"/>
      <c r="BV739" s="24"/>
      <c r="BW739" s="24"/>
      <c r="BX739" s="24"/>
      <c r="BY739" s="24"/>
      <c r="BZ739" s="24"/>
      <c r="CA739" s="24"/>
      <c r="CB739" s="24"/>
      <c r="CC739" s="24"/>
      <c r="CD739" s="24"/>
    </row>
    <row r="740" spans="2:82" ht="16.5" customHeight="1" x14ac:dyDescent="0.3">
      <c r="B740" s="26"/>
      <c r="C740" s="26"/>
      <c r="D740" s="26"/>
      <c r="E740" s="26"/>
      <c r="F740" s="26"/>
      <c r="G740" s="26"/>
      <c r="H740" s="24"/>
      <c r="I740" s="27"/>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c r="BA740" s="24"/>
      <c r="BB740" s="24"/>
      <c r="BC740" s="24"/>
      <c r="BD740" s="24"/>
      <c r="BE740" s="24"/>
      <c r="BF740" s="24"/>
      <c r="BG740" s="24"/>
      <c r="BH740" s="24"/>
      <c r="BI740" s="24"/>
      <c r="BJ740" s="24"/>
      <c r="BK740" s="24"/>
      <c r="BL740" s="24"/>
      <c r="BM740" s="24"/>
      <c r="BN740" s="24"/>
      <c r="BO740" s="24"/>
      <c r="BP740" s="24"/>
      <c r="BQ740" s="24"/>
      <c r="BR740" s="24"/>
      <c r="BS740" s="24"/>
      <c r="BT740" s="24"/>
      <c r="BU740" s="24"/>
      <c r="BV740" s="24"/>
      <c r="BW740" s="24"/>
      <c r="BX740" s="24"/>
      <c r="BY740" s="24"/>
      <c r="BZ740" s="24"/>
      <c r="CA740" s="24"/>
      <c r="CB740" s="24"/>
      <c r="CC740" s="24"/>
      <c r="CD740" s="24"/>
    </row>
    <row r="741" spans="2:82" ht="16.5" customHeight="1" x14ac:dyDescent="0.3">
      <c r="B741" s="26"/>
      <c r="C741" s="26"/>
      <c r="D741" s="26"/>
      <c r="E741" s="26"/>
      <c r="F741" s="26"/>
      <c r="G741" s="26"/>
      <c r="H741" s="24"/>
      <c r="I741" s="27"/>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c r="BA741" s="24"/>
      <c r="BB741" s="24"/>
      <c r="BC741" s="24"/>
      <c r="BD741" s="24"/>
      <c r="BE741" s="24"/>
      <c r="BF741" s="24"/>
      <c r="BG741" s="24"/>
      <c r="BH741" s="24"/>
      <c r="BI741" s="24"/>
      <c r="BJ741" s="24"/>
      <c r="BK741" s="24"/>
      <c r="BL741" s="24"/>
      <c r="BM741" s="24"/>
      <c r="BN741" s="24"/>
      <c r="BO741" s="24"/>
      <c r="BP741" s="24"/>
      <c r="BQ741" s="24"/>
      <c r="BR741" s="24"/>
      <c r="BS741" s="24"/>
      <c r="BT741" s="24"/>
      <c r="BU741" s="24"/>
      <c r="BV741" s="24"/>
      <c r="BW741" s="24"/>
      <c r="BX741" s="24"/>
      <c r="BY741" s="24"/>
      <c r="BZ741" s="24"/>
      <c r="CA741" s="24"/>
      <c r="CB741" s="24"/>
      <c r="CC741" s="24"/>
      <c r="CD741" s="24"/>
    </row>
    <row r="742" spans="2:82" ht="16.5" customHeight="1" x14ac:dyDescent="0.3">
      <c r="B742" s="26"/>
      <c r="C742" s="26"/>
      <c r="D742" s="26"/>
      <c r="E742" s="26"/>
      <c r="F742" s="26"/>
      <c r="G742" s="26"/>
      <c r="H742" s="24"/>
      <c r="I742" s="27"/>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c r="BF742" s="24"/>
      <c r="BG742" s="24"/>
      <c r="BH742" s="24"/>
      <c r="BI742" s="24"/>
      <c r="BJ742" s="24"/>
      <c r="BK742" s="24"/>
      <c r="BL742" s="24"/>
      <c r="BM742" s="24"/>
      <c r="BN742" s="24"/>
      <c r="BO742" s="24"/>
      <c r="BP742" s="24"/>
      <c r="BQ742" s="24"/>
      <c r="BR742" s="24"/>
      <c r="BS742" s="24"/>
      <c r="BT742" s="24"/>
      <c r="BU742" s="24"/>
      <c r="BV742" s="24"/>
      <c r="BW742" s="24"/>
      <c r="BX742" s="24"/>
      <c r="BY742" s="24"/>
      <c r="BZ742" s="24"/>
      <c r="CA742" s="24"/>
      <c r="CB742" s="24"/>
      <c r="CC742" s="24"/>
      <c r="CD742" s="24"/>
    </row>
    <row r="743" spans="2:82" ht="16.5" customHeight="1" x14ac:dyDescent="0.3">
      <c r="B743" s="26"/>
      <c r="C743" s="26"/>
      <c r="D743" s="26"/>
      <c r="E743" s="26"/>
      <c r="F743" s="26"/>
      <c r="G743" s="26"/>
      <c r="H743" s="24"/>
      <c r="I743" s="27"/>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c r="BA743" s="24"/>
      <c r="BB743" s="24"/>
      <c r="BC743" s="24"/>
      <c r="BD743" s="24"/>
      <c r="BE743" s="24"/>
      <c r="BF743" s="24"/>
      <c r="BG743" s="24"/>
      <c r="BH743" s="24"/>
      <c r="BI743" s="24"/>
      <c r="BJ743" s="24"/>
      <c r="BK743" s="24"/>
      <c r="BL743" s="24"/>
      <c r="BM743" s="24"/>
      <c r="BN743" s="24"/>
      <c r="BO743" s="24"/>
      <c r="BP743" s="24"/>
      <c r="BQ743" s="24"/>
      <c r="BR743" s="24"/>
      <c r="BS743" s="24"/>
      <c r="BT743" s="24"/>
      <c r="BU743" s="24"/>
      <c r="BV743" s="24"/>
      <c r="BW743" s="24"/>
      <c r="BX743" s="24"/>
      <c r="BY743" s="24"/>
      <c r="BZ743" s="24"/>
      <c r="CA743" s="24"/>
      <c r="CB743" s="24"/>
      <c r="CC743" s="24"/>
      <c r="CD743" s="24"/>
    </row>
    <row r="744" spans="2:82" ht="16.5" customHeight="1" x14ac:dyDescent="0.3">
      <c r="B744" s="26"/>
      <c r="C744" s="26"/>
      <c r="D744" s="26"/>
      <c r="E744" s="26"/>
      <c r="F744" s="26"/>
      <c r="G744" s="26"/>
      <c r="H744" s="24"/>
      <c r="I744" s="27"/>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c r="BA744" s="24"/>
      <c r="BB744" s="24"/>
      <c r="BC744" s="24"/>
      <c r="BD744" s="24"/>
      <c r="BE744" s="24"/>
      <c r="BF744" s="24"/>
      <c r="BG744" s="24"/>
      <c r="BH744" s="24"/>
      <c r="BI744" s="24"/>
      <c r="BJ744" s="24"/>
      <c r="BK744" s="24"/>
      <c r="BL744" s="24"/>
      <c r="BM744" s="24"/>
      <c r="BN744" s="24"/>
      <c r="BO744" s="24"/>
      <c r="BP744" s="24"/>
      <c r="BQ744" s="24"/>
      <c r="BR744" s="24"/>
      <c r="BS744" s="24"/>
      <c r="BT744" s="24"/>
      <c r="BU744" s="24"/>
      <c r="BV744" s="24"/>
      <c r="BW744" s="24"/>
      <c r="BX744" s="24"/>
      <c r="BY744" s="24"/>
      <c r="BZ744" s="24"/>
      <c r="CA744" s="24"/>
      <c r="CB744" s="24"/>
      <c r="CC744" s="24"/>
      <c r="CD744" s="24"/>
    </row>
    <row r="745" spans="2:82" ht="16.5" customHeight="1" x14ac:dyDescent="0.3">
      <c r="B745" s="26"/>
      <c r="C745" s="26"/>
      <c r="D745" s="26"/>
      <c r="E745" s="26"/>
      <c r="F745" s="26"/>
      <c r="G745" s="26"/>
      <c r="H745" s="24"/>
      <c r="I745" s="27"/>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c r="BA745" s="24"/>
      <c r="BB745" s="24"/>
      <c r="BC745" s="24"/>
      <c r="BD745" s="24"/>
      <c r="BE745" s="24"/>
      <c r="BF745" s="24"/>
      <c r="BG745" s="24"/>
      <c r="BH745" s="24"/>
      <c r="BI745" s="24"/>
      <c r="BJ745" s="24"/>
      <c r="BK745" s="24"/>
      <c r="BL745" s="24"/>
      <c r="BM745" s="24"/>
      <c r="BN745" s="24"/>
      <c r="BO745" s="24"/>
      <c r="BP745" s="24"/>
      <c r="BQ745" s="24"/>
      <c r="BR745" s="24"/>
      <c r="BS745" s="24"/>
      <c r="BT745" s="24"/>
      <c r="BU745" s="24"/>
      <c r="BV745" s="24"/>
      <c r="BW745" s="24"/>
      <c r="BX745" s="24"/>
      <c r="BY745" s="24"/>
      <c r="BZ745" s="24"/>
      <c r="CA745" s="24"/>
      <c r="CB745" s="24"/>
      <c r="CC745" s="24"/>
      <c r="CD745" s="24"/>
    </row>
    <row r="746" spans="2:82" ht="16.5" customHeight="1" x14ac:dyDescent="0.3">
      <c r="B746" s="26"/>
      <c r="C746" s="26"/>
      <c r="D746" s="26"/>
      <c r="E746" s="26"/>
      <c r="F746" s="26"/>
      <c r="G746" s="26"/>
      <c r="H746" s="24"/>
      <c r="I746" s="27"/>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c r="BA746" s="24"/>
      <c r="BB746" s="24"/>
      <c r="BC746" s="24"/>
      <c r="BD746" s="24"/>
      <c r="BE746" s="24"/>
      <c r="BF746" s="24"/>
      <c r="BG746" s="24"/>
      <c r="BH746" s="24"/>
      <c r="BI746" s="24"/>
      <c r="BJ746" s="24"/>
      <c r="BK746" s="24"/>
      <c r="BL746" s="24"/>
      <c r="BM746" s="24"/>
      <c r="BN746" s="24"/>
      <c r="BO746" s="24"/>
      <c r="BP746" s="24"/>
      <c r="BQ746" s="24"/>
      <c r="BR746" s="24"/>
      <c r="BS746" s="24"/>
      <c r="BT746" s="24"/>
      <c r="BU746" s="24"/>
      <c r="BV746" s="24"/>
      <c r="BW746" s="24"/>
      <c r="BX746" s="24"/>
      <c r="BY746" s="24"/>
      <c r="BZ746" s="24"/>
      <c r="CA746" s="24"/>
      <c r="CB746" s="24"/>
      <c r="CC746" s="24"/>
      <c r="CD746" s="24"/>
    </row>
    <row r="747" spans="2:82" ht="16.5" customHeight="1" x14ac:dyDescent="0.3">
      <c r="B747" s="26"/>
      <c r="C747" s="26"/>
      <c r="D747" s="26"/>
      <c r="E747" s="26"/>
      <c r="F747" s="26"/>
      <c r="G747" s="26"/>
      <c r="H747" s="24"/>
      <c r="I747" s="27"/>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c r="BA747" s="24"/>
      <c r="BB747" s="24"/>
      <c r="BC747" s="24"/>
      <c r="BD747" s="24"/>
      <c r="BE747" s="24"/>
      <c r="BF747" s="24"/>
      <c r="BG747" s="24"/>
      <c r="BH747" s="24"/>
      <c r="BI747" s="24"/>
      <c r="BJ747" s="24"/>
      <c r="BK747" s="24"/>
      <c r="BL747" s="24"/>
      <c r="BM747" s="24"/>
      <c r="BN747" s="24"/>
      <c r="BO747" s="24"/>
      <c r="BP747" s="24"/>
      <c r="BQ747" s="24"/>
      <c r="BR747" s="24"/>
      <c r="BS747" s="24"/>
      <c r="BT747" s="24"/>
      <c r="BU747" s="24"/>
      <c r="BV747" s="24"/>
      <c r="BW747" s="24"/>
      <c r="BX747" s="24"/>
      <c r="BY747" s="24"/>
      <c r="BZ747" s="24"/>
      <c r="CA747" s="24"/>
      <c r="CB747" s="24"/>
      <c r="CC747" s="24"/>
      <c r="CD747" s="24"/>
    </row>
    <row r="748" spans="2:82" ht="16.5" customHeight="1" x14ac:dyDescent="0.3">
      <c r="B748" s="26"/>
      <c r="C748" s="26"/>
      <c r="D748" s="26"/>
      <c r="E748" s="26"/>
      <c r="F748" s="26"/>
      <c r="G748" s="26"/>
      <c r="H748" s="24"/>
      <c r="I748" s="27"/>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c r="BA748" s="24"/>
      <c r="BB748" s="24"/>
      <c r="BC748" s="24"/>
      <c r="BD748" s="24"/>
      <c r="BE748" s="24"/>
      <c r="BF748" s="24"/>
      <c r="BG748" s="24"/>
      <c r="BH748" s="24"/>
      <c r="BI748" s="24"/>
      <c r="BJ748" s="24"/>
      <c r="BK748" s="24"/>
      <c r="BL748" s="24"/>
      <c r="BM748" s="24"/>
      <c r="BN748" s="24"/>
      <c r="BO748" s="24"/>
      <c r="BP748" s="24"/>
      <c r="BQ748" s="24"/>
      <c r="BR748" s="24"/>
      <c r="BS748" s="24"/>
      <c r="BT748" s="24"/>
      <c r="BU748" s="24"/>
      <c r="BV748" s="24"/>
      <c r="BW748" s="24"/>
      <c r="BX748" s="24"/>
      <c r="BY748" s="24"/>
      <c r="BZ748" s="24"/>
      <c r="CA748" s="24"/>
      <c r="CB748" s="24"/>
      <c r="CC748" s="24"/>
      <c r="CD748" s="24"/>
    </row>
    <row r="749" spans="2:82" ht="16.5" customHeight="1" x14ac:dyDescent="0.3">
      <c r="B749" s="26"/>
      <c r="C749" s="26"/>
      <c r="D749" s="26"/>
      <c r="E749" s="26"/>
      <c r="F749" s="26"/>
      <c r="G749" s="26"/>
      <c r="H749" s="24"/>
      <c r="I749" s="27"/>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c r="BA749" s="24"/>
      <c r="BB749" s="24"/>
      <c r="BC749" s="24"/>
      <c r="BD749" s="24"/>
      <c r="BE749" s="24"/>
      <c r="BF749" s="24"/>
      <c r="BG749" s="24"/>
      <c r="BH749" s="24"/>
      <c r="BI749" s="24"/>
      <c r="BJ749" s="24"/>
      <c r="BK749" s="24"/>
      <c r="BL749" s="24"/>
      <c r="BM749" s="24"/>
      <c r="BN749" s="24"/>
      <c r="BO749" s="24"/>
      <c r="BP749" s="24"/>
      <c r="BQ749" s="24"/>
      <c r="BR749" s="24"/>
      <c r="BS749" s="24"/>
      <c r="BT749" s="24"/>
      <c r="BU749" s="24"/>
      <c r="BV749" s="24"/>
      <c r="BW749" s="24"/>
      <c r="BX749" s="24"/>
      <c r="BY749" s="24"/>
      <c r="BZ749" s="24"/>
      <c r="CA749" s="24"/>
      <c r="CB749" s="24"/>
      <c r="CC749" s="24"/>
      <c r="CD749" s="24"/>
    </row>
    <row r="750" spans="2:82" ht="16.5" customHeight="1" x14ac:dyDescent="0.3">
      <c r="B750" s="26"/>
      <c r="C750" s="26"/>
      <c r="D750" s="26"/>
      <c r="E750" s="26"/>
      <c r="F750" s="26"/>
      <c r="G750" s="26"/>
      <c r="H750" s="24"/>
      <c r="I750" s="27"/>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c r="BF750" s="24"/>
      <c r="BG750" s="24"/>
      <c r="BH750" s="24"/>
      <c r="BI750" s="24"/>
      <c r="BJ750" s="24"/>
      <c r="BK750" s="24"/>
      <c r="BL750" s="24"/>
      <c r="BM750" s="24"/>
      <c r="BN750" s="24"/>
      <c r="BO750" s="24"/>
      <c r="BP750" s="24"/>
      <c r="BQ750" s="24"/>
      <c r="BR750" s="24"/>
      <c r="BS750" s="24"/>
      <c r="BT750" s="24"/>
      <c r="BU750" s="24"/>
      <c r="BV750" s="24"/>
      <c r="BW750" s="24"/>
      <c r="BX750" s="24"/>
      <c r="BY750" s="24"/>
      <c r="BZ750" s="24"/>
      <c r="CA750" s="24"/>
      <c r="CB750" s="24"/>
      <c r="CC750" s="24"/>
      <c r="CD750" s="24"/>
    </row>
    <row r="751" spans="2:82" ht="16.5" customHeight="1" x14ac:dyDescent="0.3">
      <c r="B751" s="26"/>
      <c r="C751" s="26"/>
      <c r="D751" s="26"/>
      <c r="E751" s="26"/>
      <c r="F751" s="26"/>
      <c r="G751" s="26"/>
      <c r="H751" s="24"/>
      <c r="I751" s="27"/>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c r="BF751" s="24"/>
      <c r="BG751" s="24"/>
      <c r="BH751" s="24"/>
      <c r="BI751" s="24"/>
      <c r="BJ751" s="24"/>
      <c r="BK751" s="24"/>
      <c r="BL751" s="24"/>
      <c r="BM751" s="24"/>
      <c r="BN751" s="24"/>
      <c r="BO751" s="24"/>
      <c r="BP751" s="24"/>
      <c r="BQ751" s="24"/>
      <c r="BR751" s="24"/>
      <c r="BS751" s="24"/>
      <c r="BT751" s="24"/>
      <c r="BU751" s="24"/>
      <c r="BV751" s="24"/>
      <c r="BW751" s="24"/>
      <c r="BX751" s="24"/>
      <c r="BY751" s="24"/>
      <c r="BZ751" s="24"/>
      <c r="CA751" s="24"/>
      <c r="CB751" s="24"/>
      <c r="CC751" s="24"/>
      <c r="CD751" s="24"/>
    </row>
    <row r="752" spans="2:82" ht="16.5" customHeight="1" x14ac:dyDescent="0.3">
      <c r="B752" s="26"/>
      <c r="C752" s="26"/>
      <c r="D752" s="26"/>
      <c r="E752" s="26"/>
      <c r="F752" s="26"/>
      <c r="G752" s="26"/>
      <c r="H752" s="24"/>
      <c r="I752" s="27"/>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C752" s="24"/>
      <c r="BD752" s="24"/>
      <c r="BE752" s="24"/>
      <c r="BF752" s="24"/>
      <c r="BG752" s="24"/>
      <c r="BH752" s="24"/>
      <c r="BI752" s="24"/>
      <c r="BJ752" s="24"/>
      <c r="BK752" s="24"/>
      <c r="BL752" s="24"/>
      <c r="BM752" s="24"/>
      <c r="BN752" s="24"/>
      <c r="BO752" s="24"/>
      <c r="BP752" s="24"/>
      <c r="BQ752" s="24"/>
      <c r="BR752" s="24"/>
      <c r="BS752" s="24"/>
      <c r="BT752" s="24"/>
      <c r="BU752" s="24"/>
      <c r="BV752" s="24"/>
      <c r="BW752" s="24"/>
      <c r="BX752" s="24"/>
      <c r="BY752" s="24"/>
      <c r="BZ752" s="24"/>
      <c r="CA752" s="24"/>
      <c r="CB752" s="24"/>
      <c r="CC752" s="24"/>
      <c r="CD752" s="24"/>
    </row>
    <row r="753" spans="2:82" ht="16.5" customHeight="1" x14ac:dyDescent="0.3">
      <c r="B753" s="26"/>
      <c r="C753" s="26"/>
      <c r="D753" s="26"/>
      <c r="E753" s="26"/>
      <c r="F753" s="26"/>
      <c r="G753" s="26"/>
      <c r="H753" s="24"/>
      <c r="I753" s="27"/>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c r="BC753" s="24"/>
      <c r="BD753" s="24"/>
      <c r="BE753" s="24"/>
      <c r="BF753" s="24"/>
      <c r="BG753" s="24"/>
      <c r="BH753" s="24"/>
      <c r="BI753" s="24"/>
      <c r="BJ753" s="24"/>
      <c r="BK753" s="24"/>
      <c r="BL753" s="24"/>
      <c r="BM753" s="24"/>
      <c r="BN753" s="24"/>
      <c r="BO753" s="24"/>
      <c r="BP753" s="24"/>
      <c r="BQ753" s="24"/>
      <c r="BR753" s="24"/>
      <c r="BS753" s="24"/>
      <c r="BT753" s="24"/>
      <c r="BU753" s="24"/>
      <c r="BV753" s="24"/>
      <c r="BW753" s="24"/>
      <c r="BX753" s="24"/>
      <c r="BY753" s="24"/>
      <c r="BZ753" s="24"/>
      <c r="CA753" s="24"/>
      <c r="CB753" s="24"/>
      <c r="CC753" s="24"/>
      <c r="CD753" s="24"/>
    </row>
    <row r="754" spans="2:82" ht="16.5" customHeight="1" x14ac:dyDescent="0.3">
      <c r="B754" s="26"/>
      <c r="C754" s="26"/>
      <c r="D754" s="26"/>
      <c r="E754" s="26"/>
      <c r="F754" s="26"/>
      <c r="G754" s="26"/>
      <c r="H754" s="24"/>
      <c r="I754" s="27"/>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c r="BC754" s="24"/>
      <c r="BD754" s="24"/>
      <c r="BE754" s="24"/>
      <c r="BF754" s="24"/>
      <c r="BG754" s="24"/>
      <c r="BH754" s="24"/>
      <c r="BI754" s="24"/>
      <c r="BJ754" s="24"/>
      <c r="BK754" s="24"/>
      <c r="BL754" s="24"/>
      <c r="BM754" s="24"/>
      <c r="BN754" s="24"/>
      <c r="BO754" s="24"/>
      <c r="BP754" s="24"/>
      <c r="BQ754" s="24"/>
      <c r="BR754" s="24"/>
      <c r="BS754" s="24"/>
      <c r="BT754" s="24"/>
      <c r="BU754" s="24"/>
      <c r="BV754" s="24"/>
      <c r="BW754" s="24"/>
      <c r="BX754" s="24"/>
      <c r="BY754" s="24"/>
      <c r="BZ754" s="24"/>
      <c r="CA754" s="24"/>
      <c r="CB754" s="24"/>
      <c r="CC754" s="24"/>
      <c r="CD754" s="24"/>
    </row>
    <row r="755" spans="2:82" ht="16.5" customHeight="1" x14ac:dyDescent="0.3">
      <c r="B755" s="26"/>
      <c r="C755" s="26"/>
      <c r="D755" s="26"/>
      <c r="E755" s="26"/>
      <c r="F755" s="26"/>
      <c r="G755" s="26"/>
      <c r="H755" s="24"/>
      <c r="I755" s="27"/>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c r="BA755" s="24"/>
      <c r="BB755" s="24"/>
      <c r="BC755" s="24"/>
      <c r="BD755" s="24"/>
      <c r="BE755" s="24"/>
      <c r="BF755" s="24"/>
      <c r="BG755" s="24"/>
      <c r="BH755" s="24"/>
      <c r="BI755" s="24"/>
      <c r="BJ755" s="24"/>
      <c r="BK755" s="24"/>
      <c r="BL755" s="24"/>
      <c r="BM755" s="24"/>
      <c r="BN755" s="24"/>
      <c r="BO755" s="24"/>
      <c r="BP755" s="24"/>
      <c r="BQ755" s="24"/>
      <c r="BR755" s="24"/>
      <c r="BS755" s="24"/>
      <c r="BT755" s="24"/>
      <c r="BU755" s="24"/>
      <c r="BV755" s="24"/>
      <c r="BW755" s="24"/>
      <c r="BX755" s="24"/>
      <c r="BY755" s="24"/>
      <c r="BZ755" s="24"/>
      <c r="CA755" s="24"/>
      <c r="CB755" s="24"/>
      <c r="CC755" s="24"/>
      <c r="CD755" s="24"/>
    </row>
    <row r="756" spans="2:82" ht="16.5" customHeight="1" x14ac:dyDescent="0.3">
      <c r="B756" s="26"/>
      <c r="C756" s="26"/>
      <c r="D756" s="26"/>
      <c r="E756" s="26"/>
      <c r="F756" s="26"/>
      <c r="G756" s="26"/>
      <c r="H756" s="24"/>
      <c r="I756" s="27"/>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c r="BA756" s="24"/>
      <c r="BB756" s="24"/>
      <c r="BC756" s="24"/>
      <c r="BD756" s="24"/>
      <c r="BE756" s="24"/>
      <c r="BF756" s="24"/>
      <c r="BG756" s="24"/>
      <c r="BH756" s="24"/>
      <c r="BI756" s="24"/>
      <c r="BJ756" s="24"/>
      <c r="BK756" s="24"/>
      <c r="BL756" s="24"/>
      <c r="BM756" s="24"/>
      <c r="BN756" s="24"/>
      <c r="BO756" s="24"/>
      <c r="BP756" s="24"/>
      <c r="BQ756" s="24"/>
      <c r="BR756" s="24"/>
      <c r="BS756" s="24"/>
      <c r="BT756" s="24"/>
      <c r="BU756" s="24"/>
      <c r="BV756" s="24"/>
      <c r="BW756" s="24"/>
      <c r="BX756" s="24"/>
      <c r="BY756" s="24"/>
      <c r="BZ756" s="24"/>
      <c r="CA756" s="24"/>
      <c r="CB756" s="24"/>
      <c r="CC756" s="24"/>
      <c r="CD756" s="24"/>
    </row>
    <row r="757" spans="2:82" ht="16.5" customHeight="1" x14ac:dyDescent="0.3">
      <c r="B757" s="26"/>
      <c r="C757" s="26"/>
      <c r="D757" s="26"/>
      <c r="E757" s="26"/>
      <c r="F757" s="26"/>
      <c r="G757" s="26"/>
      <c r="H757" s="24"/>
      <c r="I757" s="27"/>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c r="BA757" s="24"/>
      <c r="BB757" s="24"/>
      <c r="BC757" s="24"/>
      <c r="BD757" s="24"/>
      <c r="BE757" s="24"/>
      <c r="BF757" s="24"/>
      <c r="BG757" s="24"/>
      <c r="BH757" s="24"/>
      <c r="BI757" s="24"/>
      <c r="BJ757" s="24"/>
      <c r="BK757" s="24"/>
      <c r="BL757" s="24"/>
      <c r="BM757" s="24"/>
      <c r="BN757" s="24"/>
      <c r="BO757" s="24"/>
      <c r="BP757" s="24"/>
      <c r="BQ757" s="24"/>
      <c r="BR757" s="24"/>
      <c r="BS757" s="24"/>
      <c r="BT757" s="24"/>
      <c r="BU757" s="24"/>
      <c r="BV757" s="24"/>
      <c r="BW757" s="24"/>
      <c r="BX757" s="24"/>
      <c r="BY757" s="24"/>
      <c r="BZ757" s="24"/>
      <c r="CA757" s="24"/>
      <c r="CB757" s="24"/>
      <c r="CC757" s="24"/>
      <c r="CD757" s="24"/>
    </row>
    <row r="758" spans="2:82" ht="16.5" customHeight="1" x14ac:dyDescent="0.3">
      <c r="B758" s="26"/>
      <c r="C758" s="26"/>
      <c r="D758" s="26"/>
      <c r="E758" s="26"/>
      <c r="F758" s="26"/>
      <c r="G758" s="26"/>
      <c r="H758" s="24"/>
      <c r="I758" s="27"/>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c r="BA758" s="24"/>
      <c r="BB758" s="24"/>
      <c r="BC758" s="24"/>
      <c r="BD758" s="24"/>
      <c r="BE758" s="24"/>
      <c r="BF758" s="24"/>
      <c r="BG758" s="24"/>
      <c r="BH758" s="24"/>
      <c r="BI758" s="24"/>
      <c r="BJ758" s="24"/>
      <c r="BK758" s="24"/>
      <c r="BL758" s="24"/>
      <c r="BM758" s="24"/>
      <c r="BN758" s="24"/>
      <c r="BO758" s="24"/>
      <c r="BP758" s="24"/>
      <c r="BQ758" s="24"/>
      <c r="BR758" s="24"/>
      <c r="BS758" s="24"/>
      <c r="BT758" s="24"/>
      <c r="BU758" s="24"/>
      <c r="BV758" s="24"/>
      <c r="BW758" s="24"/>
      <c r="BX758" s="24"/>
      <c r="BY758" s="24"/>
      <c r="BZ758" s="24"/>
      <c r="CA758" s="24"/>
      <c r="CB758" s="24"/>
      <c r="CC758" s="24"/>
      <c r="CD758" s="24"/>
    </row>
    <row r="759" spans="2:82" ht="16.5" customHeight="1" x14ac:dyDescent="0.3">
      <c r="B759" s="26"/>
      <c r="C759" s="26"/>
      <c r="D759" s="26"/>
      <c r="E759" s="26"/>
      <c r="F759" s="26"/>
      <c r="G759" s="26"/>
      <c r="H759" s="24"/>
      <c r="I759" s="27"/>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c r="BA759" s="24"/>
      <c r="BB759" s="24"/>
      <c r="BC759" s="24"/>
      <c r="BD759" s="24"/>
      <c r="BE759" s="24"/>
      <c r="BF759" s="24"/>
      <c r="BG759" s="24"/>
      <c r="BH759" s="24"/>
      <c r="BI759" s="24"/>
      <c r="BJ759" s="24"/>
      <c r="BK759" s="24"/>
      <c r="BL759" s="24"/>
      <c r="BM759" s="24"/>
      <c r="BN759" s="24"/>
      <c r="BO759" s="24"/>
      <c r="BP759" s="24"/>
      <c r="BQ759" s="24"/>
      <c r="BR759" s="24"/>
      <c r="BS759" s="24"/>
      <c r="BT759" s="24"/>
      <c r="BU759" s="24"/>
      <c r="BV759" s="24"/>
      <c r="BW759" s="24"/>
      <c r="BX759" s="24"/>
      <c r="BY759" s="24"/>
      <c r="BZ759" s="24"/>
      <c r="CA759" s="24"/>
      <c r="CB759" s="24"/>
      <c r="CC759" s="24"/>
      <c r="CD759" s="24"/>
    </row>
    <row r="760" spans="2:82" ht="16.5" customHeight="1" x14ac:dyDescent="0.3">
      <c r="B760" s="26"/>
      <c r="C760" s="26"/>
      <c r="D760" s="26"/>
      <c r="E760" s="26"/>
      <c r="F760" s="26"/>
      <c r="G760" s="26"/>
      <c r="H760" s="24"/>
      <c r="I760" s="27"/>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c r="BA760" s="24"/>
      <c r="BB760" s="24"/>
      <c r="BC760" s="24"/>
      <c r="BD760" s="24"/>
      <c r="BE760" s="24"/>
      <c r="BF760" s="24"/>
      <c r="BG760" s="24"/>
      <c r="BH760" s="24"/>
      <c r="BI760" s="24"/>
      <c r="BJ760" s="24"/>
      <c r="BK760" s="24"/>
      <c r="BL760" s="24"/>
      <c r="BM760" s="24"/>
      <c r="BN760" s="24"/>
      <c r="BO760" s="24"/>
      <c r="BP760" s="24"/>
      <c r="BQ760" s="24"/>
      <c r="BR760" s="24"/>
      <c r="BS760" s="24"/>
      <c r="BT760" s="24"/>
      <c r="BU760" s="24"/>
      <c r="BV760" s="24"/>
      <c r="BW760" s="24"/>
      <c r="BX760" s="24"/>
      <c r="BY760" s="24"/>
      <c r="BZ760" s="24"/>
      <c r="CA760" s="24"/>
      <c r="CB760" s="24"/>
      <c r="CC760" s="24"/>
      <c r="CD760" s="24"/>
    </row>
    <row r="761" spans="2:82" ht="16.5" customHeight="1" x14ac:dyDescent="0.3">
      <c r="B761" s="26"/>
      <c r="C761" s="26"/>
      <c r="D761" s="26"/>
      <c r="E761" s="26"/>
      <c r="F761" s="26"/>
      <c r="G761" s="26"/>
      <c r="H761" s="24"/>
      <c r="I761" s="27"/>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c r="BA761" s="24"/>
      <c r="BB761" s="24"/>
      <c r="BC761" s="24"/>
      <c r="BD761" s="24"/>
      <c r="BE761" s="24"/>
      <c r="BF761" s="24"/>
      <c r="BG761" s="24"/>
      <c r="BH761" s="24"/>
      <c r="BI761" s="24"/>
      <c r="BJ761" s="24"/>
      <c r="BK761" s="24"/>
      <c r="BL761" s="24"/>
      <c r="BM761" s="24"/>
      <c r="BN761" s="24"/>
      <c r="BO761" s="24"/>
      <c r="BP761" s="24"/>
      <c r="BQ761" s="24"/>
      <c r="BR761" s="24"/>
      <c r="BS761" s="24"/>
      <c r="BT761" s="24"/>
      <c r="BU761" s="24"/>
      <c r="BV761" s="24"/>
      <c r="BW761" s="24"/>
      <c r="BX761" s="24"/>
      <c r="BY761" s="24"/>
      <c r="BZ761" s="24"/>
      <c r="CA761" s="24"/>
      <c r="CB761" s="24"/>
      <c r="CC761" s="24"/>
      <c r="CD761" s="24"/>
    </row>
    <row r="762" spans="2:82" ht="16.5" customHeight="1" x14ac:dyDescent="0.3">
      <c r="B762" s="26"/>
      <c r="C762" s="26"/>
      <c r="D762" s="26"/>
      <c r="E762" s="26"/>
      <c r="F762" s="26"/>
      <c r="G762" s="26"/>
      <c r="H762" s="24"/>
      <c r="I762" s="27"/>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c r="BA762" s="24"/>
      <c r="BB762" s="24"/>
      <c r="BC762" s="24"/>
      <c r="BD762" s="24"/>
      <c r="BE762" s="24"/>
      <c r="BF762" s="24"/>
      <c r="BG762" s="24"/>
      <c r="BH762" s="24"/>
      <c r="BI762" s="24"/>
      <c r="BJ762" s="24"/>
      <c r="BK762" s="24"/>
      <c r="BL762" s="24"/>
      <c r="BM762" s="24"/>
      <c r="BN762" s="24"/>
      <c r="BO762" s="24"/>
      <c r="BP762" s="24"/>
      <c r="BQ762" s="24"/>
      <c r="BR762" s="24"/>
      <c r="BS762" s="24"/>
      <c r="BT762" s="24"/>
      <c r="BU762" s="24"/>
      <c r="BV762" s="24"/>
      <c r="BW762" s="24"/>
      <c r="BX762" s="24"/>
      <c r="BY762" s="24"/>
      <c r="BZ762" s="24"/>
      <c r="CA762" s="24"/>
      <c r="CB762" s="24"/>
      <c r="CC762" s="24"/>
      <c r="CD762" s="24"/>
    </row>
    <row r="763" spans="2:82" ht="16.5" customHeight="1" x14ac:dyDescent="0.3">
      <c r="B763" s="26"/>
      <c r="C763" s="26"/>
      <c r="D763" s="26"/>
      <c r="E763" s="26"/>
      <c r="F763" s="26"/>
      <c r="G763" s="26"/>
      <c r="H763" s="24"/>
      <c r="I763" s="27"/>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c r="BA763" s="24"/>
      <c r="BB763" s="24"/>
      <c r="BC763" s="24"/>
      <c r="BD763" s="24"/>
      <c r="BE763" s="24"/>
      <c r="BF763" s="24"/>
      <c r="BG763" s="24"/>
      <c r="BH763" s="24"/>
      <c r="BI763" s="24"/>
      <c r="BJ763" s="24"/>
      <c r="BK763" s="24"/>
      <c r="BL763" s="24"/>
      <c r="BM763" s="24"/>
      <c r="BN763" s="24"/>
      <c r="BO763" s="24"/>
      <c r="BP763" s="24"/>
      <c r="BQ763" s="24"/>
      <c r="BR763" s="24"/>
      <c r="BS763" s="24"/>
      <c r="BT763" s="24"/>
      <c r="BU763" s="24"/>
      <c r="BV763" s="24"/>
      <c r="BW763" s="24"/>
      <c r="BX763" s="24"/>
      <c r="BY763" s="24"/>
      <c r="BZ763" s="24"/>
      <c r="CA763" s="24"/>
      <c r="CB763" s="24"/>
      <c r="CC763" s="24"/>
      <c r="CD763" s="24"/>
    </row>
    <row r="764" spans="2:82" ht="16.5" customHeight="1" x14ac:dyDescent="0.3">
      <c r="B764" s="26"/>
      <c r="C764" s="26"/>
      <c r="D764" s="26"/>
      <c r="E764" s="26"/>
      <c r="F764" s="26"/>
      <c r="G764" s="26"/>
      <c r="H764" s="24"/>
      <c r="I764" s="27"/>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c r="BA764" s="24"/>
      <c r="BB764" s="24"/>
      <c r="BC764" s="24"/>
      <c r="BD764" s="24"/>
      <c r="BE764" s="24"/>
      <c r="BF764" s="24"/>
      <c r="BG764" s="24"/>
      <c r="BH764" s="24"/>
      <c r="BI764" s="24"/>
      <c r="BJ764" s="24"/>
      <c r="BK764" s="24"/>
      <c r="BL764" s="24"/>
      <c r="BM764" s="24"/>
      <c r="BN764" s="24"/>
      <c r="BO764" s="24"/>
      <c r="BP764" s="24"/>
      <c r="BQ764" s="24"/>
      <c r="BR764" s="24"/>
      <c r="BS764" s="24"/>
      <c r="BT764" s="24"/>
      <c r="BU764" s="24"/>
      <c r="BV764" s="24"/>
      <c r="BW764" s="24"/>
      <c r="BX764" s="24"/>
      <c r="BY764" s="24"/>
      <c r="BZ764" s="24"/>
      <c r="CA764" s="24"/>
      <c r="CB764" s="24"/>
      <c r="CC764" s="24"/>
      <c r="CD764" s="24"/>
    </row>
    <row r="765" spans="2:82" ht="16.5" customHeight="1" x14ac:dyDescent="0.3">
      <c r="B765" s="26"/>
      <c r="C765" s="26"/>
      <c r="D765" s="26"/>
      <c r="E765" s="26"/>
      <c r="F765" s="26"/>
      <c r="G765" s="26"/>
      <c r="H765" s="24"/>
      <c r="I765" s="27"/>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c r="BA765" s="24"/>
      <c r="BB765" s="24"/>
      <c r="BC765" s="24"/>
      <c r="BD765" s="24"/>
      <c r="BE765" s="24"/>
      <c r="BF765" s="24"/>
      <c r="BG765" s="24"/>
      <c r="BH765" s="24"/>
      <c r="BI765" s="24"/>
      <c r="BJ765" s="24"/>
      <c r="BK765" s="24"/>
      <c r="BL765" s="24"/>
      <c r="BM765" s="24"/>
      <c r="BN765" s="24"/>
      <c r="BO765" s="24"/>
      <c r="BP765" s="24"/>
      <c r="BQ765" s="24"/>
      <c r="BR765" s="24"/>
      <c r="BS765" s="24"/>
      <c r="BT765" s="24"/>
      <c r="BU765" s="24"/>
      <c r="BV765" s="24"/>
      <c r="BW765" s="24"/>
      <c r="BX765" s="24"/>
      <c r="BY765" s="24"/>
      <c r="BZ765" s="24"/>
      <c r="CA765" s="24"/>
      <c r="CB765" s="24"/>
      <c r="CC765" s="24"/>
      <c r="CD765" s="24"/>
    </row>
    <row r="766" spans="2:82" ht="16.5" customHeight="1" x14ac:dyDescent="0.3">
      <c r="B766" s="26"/>
      <c r="C766" s="26"/>
      <c r="D766" s="26"/>
      <c r="E766" s="26"/>
      <c r="F766" s="26"/>
      <c r="G766" s="26"/>
      <c r="H766" s="24"/>
      <c r="I766" s="27"/>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c r="BA766" s="24"/>
      <c r="BB766" s="24"/>
      <c r="BC766" s="24"/>
      <c r="BD766" s="24"/>
      <c r="BE766" s="24"/>
      <c r="BF766" s="24"/>
      <c r="BG766" s="24"/>
      <c r="BH766" s="24"/>
      <c r="BI766" s="24"/>
      <c r="BJ766" s="24"/>
      <c r="BK766" s="24"/>
      <c r="BL766" s="24"/>
      <c r="BM766" s="24"/>
      <c r="BN766" s="24"/>
      <c r="BO766" s="24"/>
      <c r="BP766" s="24"/>
      <c r="BQ766" s="24"/>
      <c r="BR766" s="24"/>
      <c r="BS766" s="24"/>
      <c r="BT766" s="24"/>
      <c r="BU766" s="24"/>
      <c r="BV766" s="24"/>
      <c r="BW766" s="24"/>
      <c r="BX766" s="24"/>
      <c r="BY766" s="24"/>
      <c r="BZ766" s="24"/>
      <c r="CA766" s="24"/>
      <c r="CB766" s="24"/>
      <c r="CC766" s="24"/>
      <c r="CD766" s="24"/>
    </row>
    <row r="767" spans="2:82" ht="16.5" customHeight="1" x14ac:dyDescent="0.3">
      <c r="B767" s="26"/>
      <c r="C767" s="26"/>
      <c r="D767" s="26"/>
      <c r="E767" s="26"/>
      <c r="F767" s="26"/>
      <c r="G767" s="26"/>
      <c r="H767" s="24"/>
      <c r="I767" s="27"/>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c r="BA767" s="24"/>
      <c r="BB767" s="24"/>
      <c r="BC767" s="24"/>
      <c r="BD767" s="24"/>
      <c r="BE767" s="24"/>
      <c r="BF767" s="24"/>
      <c r="BG767" s="24"/>
      <c r="BH767" s="24"/>
      <c r="BI767" s="24"/>
      <c r="BJ767" s="24"/>
      <c r="BK767" s="24"/>
      <c r="BL767" s="24"/>
      <c r="BM767" s="24"/>
      <c r="BN767" s="24"/>
      <c r="BO767" s="24"/>
      <c r="BP767" s="24"/>
      <c r="BQ767" s="24"/>
      <c r="BR767" s="24"/>
      <c r="BS767" s="24"/>
      <c r="BT767" s="24"/>
      <c r="BU767" s="24"/>
      <c r="BV767" s="24"/>
      <c r="BW767" s="24"/>
      <c r="BX767" s="24"/>
      <c r="BY767" s="24"/>
      <c r="BZ767" s="24"/>
      <c r="CA767" s="24"/>
      <c r="CB767" s="24"/>
      <c r="CC767" s="24"/>
      <c r="CD767" s="24"/>
    </row>
    <row r="768" spans="2:82" ht="16.5" customHeight="1" x14ac:dyDescent="0.3">
      <c r="B768" s="26"/>
      <c r="C768" s="26"/>
      <c r="D768" s="26"/>
      <c r="E768" s="26"/>
      <c r="F768" s="26"/>
      <c r="G768" s="26"/>
      <c r="H768" s="24"/>
      <c r="I768" s="27"/>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c r="BA768" s="24"/>
      <c r="BB768" s="24"/>
      <c r="BC768" s="24"/>
      <c r="BD768" s="24"/>
      <c r="BE768" s="24"/>
      <c r="BF768" s="24"/>
      <c r="BG768" s="24"/>
      <c r="BH768" s="24"/>
      <c r="BI768" s="24"/>
      <c r="BJ768" s="24"/>
      <c r="BK768" s="24"/>
      <c r="BL768" s="24"/>
      <c r="BM768" s="24"/>
      <c r="BN768" s="24"/>
      <c r="BO768" s="24"/>
      <c r="BP768" s="24"/>
      <c r="BQ768" s="24"/>
      <c r="BR768" s="24"/>
      <c r="BS768" s="24"/>
      <c r="BT768" s="24"/>
      <c r="BU768" s="24"/>
      <c r="BV768" s="24"/>
      <c r="BW768" s="24"/>
      <c r="BX768" s="24"/>
      <c r="BY768" s="24"/>
      <c r="BZ768" s="24"/>
      <c r="CA768" s="24"/>
      <c r="CB768" s="24"/>
      <c r="CC768" s="24"/>
      <c r="CD768" s="24"/>
    </row>
    <row r="769" spans="2:82" ht="16.5" customHeight="1" x14ac:dyDescent="0.3">
      <c r="B769" s="26"/>
      <c r="C769" s="26"/>
      <c r="D769" s="26"/>
      <c r="E769" s="26"/>
      <c r="F769" s="26"/>
      <c r="G769" s="26"/>
      <c r="H769" s="24"/>
      <c r="I769" s="27"/>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c r="BC769" s="24"/>
      <c r="BD769" s="24"/>
      <c r="BE769" s="24"/>
      <c r="BF769" s="24"/>
      <c r="BG769" s="24"/>
      <c r="BH769" s="24"/>
      <c r="BI769" s="24"/>
      <c r="BJ769" s="24"/>
      <c r="BK769" s="24"/>
      <c r="BL769" s="24"/>
      <c r="BM769" s="24"/>
      <c r="BN769" s="24"/>
      <c r="BO769" s="24"/>
      <c r="BP769" s="24"/>
      <c r="BQ769" s="24"/>
      <c r="BR769" s="24"/>
      <c r="BS769" s="24"/>
      <c r="BT769" s="24"/>
      <c r="BU769" s="24"/>
      <c r="BV769" s="24"/>
      <c r="BW769" s="24"/>
      <c r="BX769" s="24"/>
      <c r="BY769" s="24"/>
      <c r="BZ769" s="24"/>
      <c r="CA769" s="24"/>
      <c r="CB769" s="24"/>
      <c r="CC769" s="24"/>
      <c r="CD769" s="24"/>
    </row>
    <row r="770" spans="2:82" ht="16.5" customHeight="1" x14ac:dyDescent="0.3">
      <c r="B770" s="26"/>
      <c r="C770" s="26"/>
      <c r="D770" s="26"/>
      <c r="E770" s="26"/>
      <c r="F770" s="26"/>
      <c r="G770" s="26"/>
      <c r="H770" s="24"/>
      <c r="I770" s="27"/>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c r="BC770" s="24"/>
      <c r="BD770" s="24"/>
      <c r="BE770" s="24"/>
      <c r="BF770" s="24"/>
      <c r="BG770" s="24"/>
      <c r="BH770" s="24"/>
      <c r="BI770" s="24"/>
      <c r="BJ770" s="24"/>
      <c r="BK770" s="24"/>
      <c r="BL770" s="24"/>
      <c r="BM770" s="24"/>
      <c r="BN770" s="24"/>
      <c r="BO770" s="24"/>
      <c r="BP770" s="24"/>
      <c r="BQ770" s="24"/>
      <c r="BR770" s="24"/>
      <c r="BS770" s="24"/>
      <c r="BT770" s="24"/>
      <c r="BU770" s="24"/>
      <c r="BV770" s="24"/>
      <c r="BW770" s="24"/>
      <c r="BX770" s="24"/>
      <c r="BY770" s="24"/>
      <c r="BZ770" s="24"/>
      <c r="CA770" s="24"/>
      <c r="CB770" s="24"/>
      <c r="CC770" s="24"/>
      <c r="CD770" s="24"/>
    </row>
    <row r="771" spans="2:82" ht="16.5" customHeight="1" x14ac:dyDescent="0.3">
      <c r="B771" s="26"/>
      <c r="C771" s="26"/>
      <c r="D771" s="26"/>
      <c r="E771" s="26"/>
      <c r="F771" s="26"/>
      <c r="G771" s="26"/>
      <c r="H771" s="24"/>
      <c r="I771" s="27"/>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C771" s="24"/>
      <c r="BD771" s="24"/>
      <c r="BE771" s="24"/>
      <c r="BF771" s="24"/>
      <c r="BG771" s="24"/>
      <c r="BH771" s="24"/>
      <c r="BI771" s="24"/>
      <c r="BJ771" s="24"/>
      <c r="BK771" s="24"/>
      <c r="BL771" s="24"/>
      <c r="BM771" s="24"/>
      <c r="BN771" s="24"/>
      <c r="BO771" s="24"/>
      <c r="BP771" s="24"/>
      <c r="BQ771" s="24"/>
      <c r="BR771" s="24"/>
      <c r="BS771" s="24"/>
      <c r="BT771" s="24"/>
      <c r="BU771" s="24"/>
      <c r="BV771" s="24"/>
      <c r="BW771" s="24"/>
      <c r="BX771" s="24"/>
      <c r="BY771" s="24"/>
      <c r="BZ771" s="24"/>
      <c r="CA771" s="24"/>
      <c r="CB771" s="24"/>
      <c r="CC771" s="24"/>
      <c r="CD771" s="24"/>
    </row>
    <row r="772" spans="2:82" ht="16.5" customHeight="1" x14ac:dyDescent="0.3">
      <c r="B772" s="26"/>
      <c r="C772" s="26"/>
      <c r="D772" s="26"/>
      <c r="E772" s="26"/>
      <c r="F772" s="26"/>
      <c r="G772" s="26"/>
      <c r="H772" s="24"/>
      <c r="I772" s="27"/>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c r="BC772" s="24"/>
      <c r="BD772" s="24"/>
      <c r="BE772" s="24"/>
      <c r="BF772" s="24"/>
      <c r="BG772" s="24"/>
      <c r="BH772" s="24"/>
      <c r="BI772" s="24"/>
      <c r="BJ772" s="24"/>
      <c r="BK772" s="24"/>
      <c r="BL772" s="24"/>
      <c r="BM772" s="24"/>
      <c r="BN772" s="24"/>
      <c r="BO772" s="24"/>
      <c r="BP772" s="24"/>
      <c r="BQ772" s="24"/>
      <c r="BR772" s="24"/>
      <c r="BS772" s="24"/>
      <c r="BT772" s="24"/>
      <c r="BU772" s="24"/>
      <c r="BV772" s="24"/>
      <c r="BW772" s="24"/>
      <c r="BX772" s="24"/>
      <c r="BY772" s="24"/>
      <c r="BZ772" s="24"/>
      <c r="CA772" s="24"/>
      <c r="CB772" s="24"/>
      <c r="CC772" s="24"/>
      <c r="CD772" s="24"/>
    </row>
    <row r="773" spans="2:82" ht="16.5" customHeight="1" x14ac:dyDescent="0.3">
      <c r="B773" s="26"/>
      <c r="C773" s="26"/>
      <c r="D773" s="26"/>
      <c r="E773" s="26"/>
      <c r="F773" s="26"/>
      <c r="G773" s="26"/>
      <c r="H773" s="24"/>
      <c r="I773" s="27"/>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c r="BC773" s="24"/>
      <c r="BD773" s="24"/>
      <c r="BE773" s="24"/>
      <c r="BF773" s="24"/>
      <c r="BG773" s="24"/>
      <c r="BH773" s="24"/>
      <c r="BI773" s="24"/>
      <c r="BJ773" s="24"/>
      <c r="BK773" s="24"/>
      <c r="BL773" s="24"/>
      <c r="BM773" s="24"/>
      <c r="BN773" s="24"/>
      <c r="BO773" s="24"/>
      <c r="BP773" s="24"/>
      <c r="BQ773" s="24"/>
      <c r="BR773" s="24"/>
      <c r="BS773" s="24"/>
      <c r="BT773" s="24"/>
      <c r="BU773" s="24"/>
      <c r="BV773" s="24"/>
      <c r="BW773" s="24"/>
      <c r="BX773" s="24"/>
      <c r="BY773" s="24"/>
      <c r="BZ773" s="24"/>
      <c r="CA773" s="24"/>
      <c r="CB773" s="24"/>
      <c r="CC773" s="24"/>
      <c r="CD773" s="24"/>
    </row>
    <row r="774" spans="2:82" ht="16.5" customHeight="1" x14ac:dyDescent="0.3">
      <c r="B774" s="26"/>
      <c r="C774" s="26"/>
      <c r="D774" s="26"/>
      <c r="E774" s="26"/>
      <c r="F774" s="26"/>
      <c r="G774" s="26"/>
      <c r="H774" s="24"/>
      <c r="I774" s="27"/>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c r="BA774" s="24"/>
      <c r="BB774" s="24"/>
      <c r="BC774" s="24"/>
      <c r="BD774" s="24"/>
      <c r="BE774" s="24"/>
      <c r="BF774" s="24"/>
      <c r="BG774" s="24"/>
      <c r="BH774" s="24"/>
      <c r="BI774" s="24"/>
      <c r="BJ774" s="24"/>
      <c r="BK774" s="24"/>
      <c r="BL774" s="24"/>
      <c r="BM774" s="24"/>
      <c r="BN774" s="24"/>
      <c r="BO774" s="24"/>
      <c r="BP774" s="24"/>
      <c r="BQ774" s="24"/>
      <c r="BR774" s="24"/>
      <c r="BS774" s="24"/>
      <c r="BT774" s="24"/>
      <c r="BU774" s="24"/>
      <c r="BV774" s="24"/>
      <c r="BW774" s="24"/>
      <c r="BX774" s="24"/>
      <c r="BY774" s="24"/>
      <c r="BZ774" s="24"/>
      <c r="CA774" s="24"/>
      <c r="CB774" s="24"/>
      <c r="CC774" s="24"/>
      <c r="CD774" s="24"/>
    </row>
    <row r="775" spans="2:82" ht="16.5" customHeight="1" x14ac:dyDescent="0.3">
      <c r="B775" s="26"/>
      <c r="C775" s="26"/>
      <c r="D775" s="26"/>
      <c r="E775" s="26"/>
      <c r="F775" s="26"/>
      <c r="G775" s="26"/>
      <c r="H775" s="24"/>
      <c r="I775" s="27"/>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c r="BA775" s="24"/>
      <c r="BB775" s="24"/>
      <c r="BC775" s="24"/>
      <c r="BD775" s="24"/>
      <c r="BE775" s="24"/>
      <c r="BF775" s="24"/>
      <c r="BG775" s="24"/>
      <c r="BH775" s="24"/>
      <c r="BI775" s="24"/>
      <c r="BJ775" s="24"/>
      <c r="BK775" s="24"/>
      <c r="BL775" s="24"/>
      <c r="BM775" s="24"/>
      <c r="BN775" s="24"/>
      <c r="BO775" s="24"/>
      <c r="BP775" s="24"/>
      <c r="BQ775" s="24"/>
      <c r="BR775" s="24"/>
      <c r="BS775" s="24"/>
      <c r="BT775" s="24"/>
      <c r="BU775" s="24"/>
      <c r="BV775" s="24"/>
      <c r="BW775" s="24"/>
      <c r="BX775" s="24"/>
      <c r="BY775" s="24"/>
      <c r="BZ775" s="24"/>
      <c r="CA775" s="24"/>
      <c r="CB775" s="24"/>
      <c r="CC775" s="24"/>
      <c r="CD775" s="24"/>
    </row>
    <row r="776" spans="2:82" ht="16.5" customHeight="1" x14ac:dyDescent="0.3">
      <c r="B776" s="26"/>
      <c r="C776" s="26"/>
      <c r="D776" s="26"/>
      <c r="E776" s="26"/>
      <c r="F776" s="26"/>
      <c r="G776" s="26"/>
      <c r="H776" s="24"/>
      <c r="I776" s="27"/>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c r="BA776" s="24"/>
      <c r="BB776" s="24"/>
      <c r="BC776" s="24"/>
      <c r="BD776" s="24"/>
      <c r="BE776" s="24"/>
      <c r="BF776" s="24"/>
      <c r="BG776" s="24"/>
      <c r="BH776" s="24"/>
      <c r="BI776" s="24"/>
      <c r="BJ776" s="24"/>
      <c r="BK776" s="24"/>
      <c r="BL776" s="24"/>
      <c r="BM776" s="24"/>
      <c r="BN776" s="24"/>
      <c r="BO776" s="24"/>
      <c r="BP776" s="24"/>
      <c r="BQ776" s="24"/>
      <c r="BR776" s="24"/>
      <c r="BS776" s="24"/>
      <c r="BT776" s="24"/>
      <c r="BU776" s="24"/>
      <c r="BV776" s="24"/>
      <c r="BW776" s="24"/>
      <c r="BX776" s="24"/>
      <c r="BY776" s="24"/>
      <c r="BZ776" s="24"/>
      <c r="CA776" s="24"/>
      <c r="CB776" s="24"/>
      <c r="CC776" s="24"/>
      <c r="CD776" s="24"/>
    </row>
    <row r="777" spans="2:82" ht="16.5" customHeight="1" x14ac:dyDescent="0.3">
      <c r="B777" s="26"/>
      <c r="C777" s="26"/>
      <c r="D777" s="26"/>
      <c r="E777" s="26"/>
      <c r="F777" s="26"/>
      <c r="G777" s="26"/>
      <c r="H777" s="24"/>
      <c r="I777" s="27"/>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c r="BA777" s="24"/>
      <c r="BB777" s="24"/>
      <c r="BC777" s="24"/>
      <c r="BD777" s="24"/>
      <c r="BE777" s="24"/>
      <c r="BF777" s="24"/>
      <c r="BG777" s="24"/>
      <c r="BH777" s="24"/>
      <c r="BI777" s="24"/>
      <c r="BJ777" s="24"/>
      <c r="BK777" s="24"/>
      <c r="BL777" s="24"/>
      <c r="BM777" s="24"/>
      <c r="BN777" s="24"/>
      <c r="BO777" s="24"/>
      <c r="BP777" s="24"/>
      <c r="BQ777" s="24"/>
      <c r="BR777" s="24"/>
      <c r="BS777" s="24"/>
      <c r="BT777" s="24"/>
      <c r="BU777" s="24"/>
      <c r="BV777" s="24"/>
      <c r="BW777" s="24"/>
      <c r="BX777" s="24"/>
      <c r="BY777" s="24"/>
      <c r="BZ777" s="24"/>
      <c r="CA777" s="24"/>
      <c r="CB777" s="24"/>
      <c r="CC777" s="24"/>
      <c r="CD777" s="24"/>
    </row>
    <row r="778" spans="2:82" ht="16.5" customHeight="1" x14ac:dyDescent="0.3">
      <c r="B778" s="26"/>
      <c r="C778" s="26"/>
      <c r="D778" s="26"/>
      <c r="E778" s="26"/>
      <c r="F778" s="26"/>
      <c r="G778" s="26"/>
      <c r="H778" s="24"/>
      <c r="I778" s="27"/>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c r="BA778" s="24"/>
      <c r="BB778" s="24"/>
      <c r="BC778" s="24"/>
      <c r="BD778" s="24"/>
      <c r="BE778" s="24"/>
      <c r="BF778" s="24"/>
      <c r="BG778" s="24"/>
      <c r="BH778" s="24"/>
      <c r="BI778" s="24"/>
      <c r="BJ778" s="24"/>
      <c r="BK778" s="24"/>
      <c r="BL778" s="24"/>
      <c r="BM778" s="24"/>
      <c r="BN778" s="24"/>
      <c r="BO778" s="24"/>
      <c r="BP778" s="24"/>
      <c r="BQ778" s="24"/>
      <c r="BR778" s="24"/>
      <c r="BS778" s="24"/>
      <c r="BT778" s="24"/>
      <c r="BU778" s="24"/>
      <c r="BV778" s="24"/>
      <c r="BW778" s="24"/>
      <c r="BX778" s="24"/>
      <c r="BY778" s="24"/>
      <c r="BZ778" s="24"/>
      <c r="CA778" s="24"/>
      <c r="CB778" s="24"/>
      <c r="CC778" s="24"/>
      <c r="CD778" s="24"/>
    </row>
    <row r="779" spans="2:82" ht="16.5" customHeight="1" x14ac:dyDescent="0.3">
      <c r="B779" s="26"/>
      <c r="C779" s="26"/>
      <c r="D779" s="26"/>
      <c r="E779" s="26"/>
      <c r="F779" s="26"/>
      <c r="G779" s="26"/>
      <c r="H779" s="24"/>
      <c r="I779" s="27"/>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c r="BA779" s="24"/>
      <c r="BB779" s="24"/>
      <c r="BC779" s="24"/>
      <c r="BD779" s="24"/>
      <c r="BE779" s="24"/>
      <c r="BF779" s="24"/>
      <c r="BG779" s="24"/>
      <c r="BH779" s="24"/>
      <c r="BI779" s="24"/>
      <c r="BJ779" s="24"/>
      <c r="BK779" s="24"/>
      <c r="BL779" s="24"/>
      <c r="BM779" s="24"/>
      <c r="BN779" s="24"/>
      <c r="BO779" s="24"/>
      <c r="BP779" s="24"/>
      <c r="BQ779" s="24"/>
      <c r="BR779" s="24"/>
      <c r="BS779" s="24"/>
      <c r="BT779" s="24"/>
      <c r="BU779" s="24"/>
      <c r="BV779" s="24"/>
      <c r="BW779" s="24"/>
      <c r="BX779" s="24"/>
      <c r="BY779" s="24"/>
      <c r="BZ779" s="24"/>
      <c r="CA779" s="24"/>
      <c r="CB779" s="24"/>
      <c r="CC779" s="24"/>
      <c r="CD779" s="24"/>
    </row>
    <row r="780" spans="2:82" ht="16.5" customHeight="1" x14ac:dyDescent="0.3">
      <c r="B780" s="26"/>
      <c r="C780" s="26"/>
      <c r="D780" s="26"/>
      <c r="E780" s="26"/>
      <c r="F780" s="26"/>
      <c r="G780" s="26"/>
      <c r="H780" s="24"/>
      <c r="I780" s="27"/>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c r="BA780" s="24"/>
      <c r="BB780" s="24"/>
      <c r="BC780" s="24"/>
      <c r="BD780" s="24"/>
      <c r="BE780" s="24"/>
      <c r="BF780" s="24"/>
      <c r="BG780" s="24"/>
      <c r="BH780" s="24"/>
      <c r="BI780" s="24"/>
      <c r="BJ780" s="24"/>
      <c r="BK780" s="24"/>
      <c r="BL780" s="24"/>
      <c r="BM780" s="24"/>
      <c r="BN780" s="24"/>
      <c r="BO780" s="24"/>
      <c r="BP780" s="24"/>
      <c r="BQ780" s="24"/>
      <c r="BR780" s="24"/>
      <c r="BS780" s="24"/>
      <c r="BT780" s="24"/>
      <c r="BU780" s="24"/>
      <c r="BV780" s="24"/>
      <c r="BW780" s="24"/>
      <c r="BX780" s="24"/>
      <c r="BY780" s="24"/>
      <c r="BZ780" s="24"/>
      <c r="CA780" s="24"/>
      <c r="CB780" s="24"/>
      <c r="CC780" s="24"/>
      <c r="CD780" s="24"/>
    </row>
    <row r="781" spans="2:82" ht="16.5" customHeight="1" x14ac:dyDescent="0.3">
      <c r="B781" s="26"/>
      <c r="C781" s="26"/>
      <c r="D781" s="26"/>
      <c r="E781" s="26"/>
      <c r="F781" s="26"/>
      <c r="G781" s="26"/>
      <c r="H781" s="24"/>
      <c r="I781" s="27"/>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c r="BA781" s="24"/>
      <c r="BB781" s="24"/>
      <c r="BC781" s="24"/>
      <c r="BD781" s="24"/>
      <c r="BE781" s="24"/>
      <c r="BF781" s="24"/>
      <c r="BG781" s="24"/>
      <c r="BH781" s="24"/>
      <c r="BI781" s="24"/>
      <c r="BJ781" s="24"/>
      <c r="BK781" s="24"/>
      <c r="BL781" s="24"/>
      <c r="BM781" s="24"/>
      <c r="BN781" s="24"/>
      <c r="BO781" s="24"/>
      <c r="BP781" s="24"/>
      <c r="BQ781" s="24"/>
      <c r="BR781" s="24"/>
      <c r="BS781" s="24"/>
      <c r="BT781" s="24"/>
      <c r="BU781" s="24"/>
      <c r="BV781" s="24"/>
      <c r="BW781" s="24"/>
      <c r="BX781" s="24"/>
      <c r="BY781" s="24"/>
      <c r="BZ781" s="24"/>
      <c r="CA781" s="24"/>
      <c r="CB781" s="24"/>
      <c r="CC781" s="24"/>
      <c r="CD781" s="24"/>
    </row>
    <row r="782" spans="2:82" ht="16.5" customHeight="1" x14ac:dyDescent="0.3">
      <c r="B782" s="26"/>
      <c r="C782" s="26"/>
      <c r="D782" s="26"/>
      <c r="E782" s="26"/>
      <c r="F782" s="26"/>
      <c r="G782" s="26"/>
      <c r="H782" s="24"/>
      <c r="I782" s="27"/>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c r="BA782" s="24"/>
      <c r="BB782" s="24"/>
      <c r="BC782" s="24"/>
      <c r="BD782" s="24"/>
      <c r="BE782" s="24"/>
      <c r="BF782" s="24"/>
      <c r="BG782" s="24"/>
      <c r="BH782" s="24"/>
      <c r="BI782" s="24"/>
      <c r="BJ782" s="24"/>
      <c r="BK782" s="24"/>
      <c r="BL782" s="24"/>
      <c r="BM782" s="24"/>
      <c r="BN782" s="24"/>
      <c r="BO782" s="24"/>
      <c r="BP782" s="24"/>
      <c r="BQ782" s="24"/>
      <c r="BR782" s="24"/>
      <c r="BS782" s="24"/>
      <c r="BT782" s="24"/>
      <c r="BU782" s="24"/>
      <c r="BV782" s="24"/>
      <c r="BW782" s="24"/>
      <c r="BX782" s="24"/>
      <c r="BY782" s="24"/>
      <c r="BZ782" s="24"/>
      <c r="CA782" s="24"/>
      <c r="CB782" s="24"/>
      <c r="CC782" s="24"/>
      <c r="CD782" s="24"/>
    </row>
    <row r="783" spans="2:82" ht="16.5" customHeight="1" x14ac:dyDescent="0.3">
      <c r="B783" s="26"/>
      <c r="C783" s="26"/>
      <c r="D783" s="26"/>
      <c r="E783" s="26"/>
      <c r="F783" s="26"/>
      <c r="G783" s="26"/>
      <c r="H783" s="24"/>
      <c r="I783" s="27"/>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c r="BF783" s="24"/>
      <c r="BG783" s="24"/>
      <c r="BH783" s="24"/>
      <c r="BI783" s="24"/>
      <c r="BJ783" s="24"/>
      <c r="BK783" s="24"/>
      <c r="BL783" s="24"/>
      <c r="BM783" s="24"/>
      <c r="BN783" s="24"/>
      <c r="BO783" s="24"/>
      <c r="BP783" s="24"/>
      <c r="BQ783" s="24"/>
      <c r="BR783" s="24"/>
      <c r="BS783" s="24"/>
      <c r="BT783" s="24"/>
      <c r="BU783" s="24"/>
      <c r="BV783" s="24"/>
      <c r="BW783" s="24"/>
      <c r="BX783" s="24"/>
      <c r="BY783" s="24"/>
      <c r="BZ783" s="24"/>
      <c r="CA783" s="24"/>
      <c r="CB783" s="24"/>
      <c r="CC783" s="24"/>
      <c r="CD783" s="24"/>
    </row>
    <row r="784" spans="2:82" ht="16.5" customHeight="1" x14ac:dyDescent="0.3">
      <c r="B784" s="26"/>
      <c r="C784" s="26"/>
      <c r="D784" s="26"/>
      <c r="E784" s="26"/>
      <c r="F784" s="26"/>
      <c r="G784" s="26"/>
      <c r="H784" s="24"/>
      <c r="I784" s="27"/>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c r="BF784" s="24"/>
      <c r="BG784" s="24"/>
      <c r="BH784" s="24"/>
      <c r="BI784" s="24"/>
      <c r="BJ784" s="24"/>
      <c r="BK784" s="24"/>
      <c r="BL784" s="24"/>
      <c r="BM784" s="24"/>
      <c r="BN784" s="24"/>
      <c r="BO784" s="24"/>
      <c r="BP784" s="24"/>
      <c r="BQ784" s="24"/>
      <c r="BR784" s="24"/>
      <c r="BS784" s="24"/>
      <c r="BT784" s="24"/>
      <c r="BU784" s="24"/>
      <c r="BV784" s="24"/>
      <c r="BW784" s="24"/>
      <c r="BX784" s="24"/>
      <c r="BY784" s="24"/>
      <c r="BZ784" s="24"/>
      <c r="CA784" s="24"/>
      <c r="CB784" s="24"/>
      <c r="CC784" s="24"/>
      <c r="CD784" s="24"/>
    </row>
    <row r="785" spans="2:82" ht="16.5" customHeight="1" x14ac:dyDescent="0.3">
      <c r="B785" s="26"/>
      <c r="C785" s="26"/>
      <c r="D785" s="26"/>
      <c r="E785" s="26"/>
      <c r="F785" s="26"/>
      <c r="G785" s="26"/>
      <c r="H785" s="24"/>
      <c r="I785" s="27"/>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c r="BA785" s="24"/>
      <c r="BB785" s="24"/>
      <c r="BC785" s="24"/>
      <c r="BD785" s="24"/>
      <c r="BE785" s="24"/>
      <c r="BF785" s="24"/>
      <c r="BG785" s="24"/>
      <c r="BH785" s="24"/>
      <c r="BI785" s="24"/>
      <c r="BJ785" s="24"/>
      <c r="BK785" s="24"/>
      <c r="BL785" s="24"/>
      <c r="BM785" s="24"/>
      <c r="BN785" s="24"/>
      <c r="BO785" s="24"/>
      <c r="BP785" s="24"/>
      <c r="BQ785" s="24"/>
      <c r="BR785" s="24"/>
      <c r="BS785" s="24"/>
      <c r="BT785" s="24"/>
      <c r="BU785" s="24"/>
      <c r="BV785" s="24"/>
      <c r="BW785" s="24"/>
      <c r="BX785" s="24"/>
      <c r="BY785" s="24"/>
      <c r="BZ785" s="24"/>
      <c r="CA785" s="24"/>
      <c r="CB785" s="24"/>
      <c r="CC785" s="24"/>
      <c r="CD785" s="24"/>
    </row>
    <row r="786" spans="2:82" ht="16.5" customHeight="1" x14ac:dyDescent="0.3">
      <c r="B786" s="26"/>
      <c r="C786" s="26"/>
      <c r="D786" s="26"/>
      <c r="E786" s="26"/>
      <c r="F786" s="26"/>
      <c r="G786" s="26"/>
      <c r="H786" s="24"/>
      <c r="I786" s="27"/>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c r="BA786" s="24"/>
      <c r="BB786" s="24"/>
      <c r="BC786" s="24"/>
      <c r="BD786" s="24"/>
      <c r="BE786" s="24"/>
      <c r="BF786" s="24"/>
      <c r="BG786" s="24"/>
      <c r="BH786" s="24"/>
      <c r="BI786" s="24"/>
      <c r="BJ786" s="24"/>
      <c r="BK786" s="24"/>
      <c r="BL786" s="24"/>
      <c r="BM786" s="24"/>
      <c r="BN786" s="24"/>
      <c r="BO786" s="24"/>
      <c r="BP786" s="24"/>
      <c r="BQ786" s="24"/>
      <c r="BR786" s="24"/>
      <c r="BS786" s="24"/>
      <c r="BT786" s="24"/>
      <c r="BU786" s="24"/>
      <c r="BV786" s="24"/>
      <c r="BW786" s="24"/>
      <c r="BX786" s="24"/>
      <c r="BY786" s="24"/>
      <c r="BZ786" s="24"/>
      <c r="CA786" s="24"/>
      <c r="CB786" s="24"/>
      <c r="CC786" s="24"/>
      <c r="CD786" s="24"/>
    </row>
    <row r="787" spans="2:82" ht="16.5" customHeight="1" x14ac:dyDescent="0.3">
      <c r="B787" s="26"/>
      <c r="C787" s="26"/>
      <c r="D787" s="26"/>
      <c r="E787" s="26"/>
      <c r="F787" s="26"/>
      <c r="G787" s="26"/>
      <c r="H787" s="24"/>
      <c r="I787" s="27"/>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c r="BA787" s="24"/>
      <c r="BB787" s="24"/>
      <c r="BC787" s="24"/>
      <c r="BD787" s="24"/>
      <c r="BE787" s="24"/>
      <c r="BF787" s="24"/>
      <c r="BG787" s="24"/>
      <c r="BH787" s="24"/>
      <c r="BI787" s="24"/>
      <c r="BJ787" s="24"/>
      <c r="BK787" s="24"/>
      <c r="BL787" s="24"/>
      <c r="BM787" s="24"/>
      <c r="BN787" s="24"/>
      <c r="BO787" s="24"/>
      <c r="BP787" s="24"/>
      <c r="BQ787" s="24"/>
      <c r="BR787" s="24"/>
      <c r="BS787" s="24"/>
      <c r="BT787" s="24"/>
      <c r="BU787" s="24"/>
      <c r="BV787" s="24"/>
      <c r="BW787" s="24"/>
      <c r="BX787" s="24"/>
      <c r="BY787" s="24"/>
      <c r="BZ787" s="24"/>
      <c r="CA787" s="24"/>
      <c r="CB787" s="24"/>
      <c r="CC787" s="24"/>
      <c r="CD787" s="24"/>
    </row>
    <row r="788" spans="2:82" ht="16.5" customHeight="1" x14ac:dyDescent="0.3">
      <c r="B788" s="26"/>
      <c r="C788" s="26"/>
      <c r="D788" s="26"/>
      <c r="E788" s="26"/>
      <c r="F788" s="26"/>
      <c r="G788" s="26"/>
      <c r="H788" s="24"/>
      <c r="I788" s="27"/>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c r="BC788" s="24"/>
      <c r="BD788" s="24"/>
      <c r="BE788" s="24"/>
      <c r="BF788" s="24"/>
      <c r="BG788" s="24"/>
      <c r="BH788" s="24"/>
      <c r="BI788" s="24"/>
      <c r="BJ788" s="24"/>
      <c r="BK788" s="24"/>
      <c r="BL788" s="24"/>
      <c r="BM788" s="24"/>
      <c r="BN788" s="24"/>
      <c r="BO788" s="24"/>
      <c r="BP788" s="24"/>
      <c r="BQ788" s="24"/>
      <c r="BR788" s="24"/>
      <c r="BS788" s="24"/>
      <c r="BT788" s="24"/>
      <c r="BU788" s="24"/>
      <c r="BV788" s="24"/>
      <c r="BW788" s="24"/>
      <c r="BX788" s="24"/>
      <c r="BY788" s="24"/>
      <c r="BZ788" s="24"/>
      <c r="CA788" s="24"/>
      <c r="CB788" s="24"/>
      <c r="CC788" s="24"/>
      <c r="CD788" s="24"/>
    </row>
    <row r="789" spans="2:82" ht="16.5" customHeight="1" x14ac:dyDescent="0.3">
      <c r="B789" s="26"/>
      <c r="C789" s="26"/>
      <c r="D789" s="26"/>
      <c r="E789" s="26"/>
      <c r="F789" s="26"/>
      <c r="G789" s="26"/>
      <c r="H789" s="24"/>
      <c r="I789" s="27"/>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c r="BC789" s="24"/>
      <c r="BD789" s="24"/>
      <c r="BE789" s="24"/>
      <c r="BF789" s="24"/>
      <c r="BG789" s="24"/>
      <c r="BH789" s="24"/>
      <c r="BI789" s="24"/>
      <c r="BJ789" s="24"/>
      <c r="BK789" s="24"/>
      <c r="BL789" s="24"/>
      <c r="BM789" s="24"/>
      <c r="BN789" s="24"/>
      <c r="BO789" s="24"/>
      <c r="BP789" s="24"/>
      <c r="BQ789" s="24"/>
      <c r="BR789" s="24"/>
      <c r="BS789" s="24"/>
      <c r="BT789" s="24"/>
      <c r="BU789" s="24"/>
      <c r="BV789" s="24"/>
      <c r="BW789" s="24"/>
      <c r="BX789" s="24"/>
      <c r="BY789" s="24"/>
      <c r="BZ789" s="24"/>
      <c r="CA789" s="24"/>
      <c r="CB789" s="24"/>
      <c r="CC789" s="24"/>
      <c r="CD789" s="24"/>
    </row>
    <row r="790" spans="2:82" ht="16.5" customHeight="1" x14ac:dyDescent="0.3">
      <c r="B790" s="26"/>
      <c r="C790" s="26"/>
      <c r="D790" s="26"/>
      <c r="E790" s="26"/>
      <c r="F790" s="26"/>
      <c r="G790" s="26"/>
      <c r="H790" s="24"/>
      <c r="I790" s="27"/>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C790" s="24"/>
      <c r="BD790" s="24"/>
      <c r="BE790" s="24"/>
      <c r="BF790" s="24"/>
      <c r="BG790" s="24"/>
      <c r="BH790" s="24"/>
      <c r="BI790" s="24"/>
      <c r="BJ790" s="24"/>
      <c r="BK790" s="24"/>
      <c r="BL790" s="24"/>
      <c r="BM790" s="24"/>
      <c r="BN790" s="24"/>
      <c r="BO790" s="24"/>
      <c r="BP790" s="24"/>
      <c r="BQ790" s="24"/>
      <c r="BR790" s="24"/>
      <c r="BS790" s="24"/>
      <c r="BT790" s="24"/>
      <c r="BU790" s="24"/>
      <c r="BV790" s="24"/>
      <c r="BW790" s="24"/>
      <c r="BX790" s="24"/>
      <c r="BY790" s="24"/>
      <c r="BZ790" s="24"/>
      <c r="CA790" s="24"/>
      <c r="CB790" s="24"/>
      <c r="CC790" s="24"/>
      <c r="CD790" s="24"/>
    </row>
    <row r="791" spans="2:82" ht="16.5" customHeight="1" x14ac:dyDescent="0.3">
      <c r="B791" s="26"/>
      <c r="C791" s="26"/>
      <c r="D791" s="26"/>
      <c r="E791" s="26"/>
      <c r="F791" s="26"/>
      <c r="G791" s="26"/>
      <c r="H791" s="24"/>
      <c r="I791" s="27"/>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c r="BF791" s="24"/>
      <c r="BG791" s="24"/>
      <c r="BH791" s="24"/>
      <c r="BI791" s="24"/>
      <c r="BJ791" s="24"/>
      <c r="BK791" s="24"/>
      <c r="BL791" s="24"/>
      <c r="BM791" s="24"/>
      <c r="BN791" s="24"/>
      <c r="BO791" s="24"/>
      <c r="BP791" s="24"/>
      <c r="BQ791" s="24"/>
      <c r="BR791" s="24"/>
      <c r="BS791" s="24"/>
      <c r="BT791" s="24"/>
      <c r="BU791" s="24"/>
      <c r="BV791" s="24"/>
      <c r="BW791" s="24"/>
      <c r="BX791" s="24"/>
      <c r="BY791" s="24"/>
      <c r="BZ791" s="24"/>
      <c r="CA791" s="24"/>
      <c r="CB791" s="24"/>
      <c r="CC791" s="24"/>
      <c r="CD791" s="24"/>
    </row>
    <row r="792" spans="2:82" ht="16.5" customHeight="1" x14ac:dyDescent="0.3">
      <c r="B792" s="26"/>
      <c r="C792" s="26"/>
      <c r="D792" s="26"/>
      <c r="E792" s="26"/>
      <c r="F792" s="26"/>
      <c r="G792" s="26"/>
      <c r="H792" s="24"/>
      <c r="I792" s="27"/>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c r="BC792" s="24"/>
      <c r="BD792" s="24"/>
      <c r="BE792" s="24"/>
      <c r="BF792" s="24"/>
      <c r="BG792" s="24"/>
      <c r="BH792" s="24"/>
      <c r="BI792" s="24"/>
      <c r="BJ792" s="24"/>
      <c r="BK792" s="24"/>
      <c r="BL792" s="24"/>
      <c r="BM792" s="24"/>
      <c r="BN792" s="24"/>
      <c r="BO792" s="24"/>
      <c r="BP792" s="24"/>
      <c r="BQ792" s="24"/>
      <c r="BR792" s="24"/>
      <c r="BS792" s="24"/>
      <c r="BT792" s="24"/>
      <c r="BU792" s="24"/>
      <c r="BV792" s="24"/>
      <c r="BW792" s="24"/>
      <c r="BX792" s="24"/>
      <c r="BY792" s="24"/>
      <c r="BZ792" s="24"/>
      <c r="CA792" s="24"/>
      <c r="CB792" s="24"/>
      <c r="CC792" s="24"/>
      <c r="CD792" s="24"/>
    </row>
    <row r="793" spans="2:82" ht="16.5" customHeight="1" x14ac:dyDescent="0.3">
      <c r="B793" s="26"/>
      <c r="C793" s="26"/>
      <c r="D793" s="26"/>
      <c r="E793" s="26"/>
      <c r="F793" s="26"/>
      <c r="G793" s="26"/>
      <c r="H793" s="24"/>
      <c r="I793" s="27"/>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c r="BA793" s="24"/>
      <c r="BB793" s="24"/>
      <c r="BC793" s="24"/>
      <c r="BD793" s="24"/>
      <c r="BE793" s="24"/>
      <c r="BF793" s="24"/>
      <c r="BG793" s="24"/>
      <c r="BH793" s="24"/>
      <c r="BI793" s="24"/>
      <c r="BJ793" s="24"/>
      <c r="BK793" s="24"/>
      <c r="BL793" s="24"/>
      <c r="BM793" s="24"/>
      <c r="BN793" s="24"/>
      <c r="BO793" s="24"/>
      <c r="BP793" s="24"/>
      <c r="BQ793" s="24"/>
      <c r="BR793" s="24"/>
      <c r="BS793" s="24"/>
      <c r="BT793" s="24"/>
      <c r="BU793" s="24"/>
      <c r="BV793" s="24"/>
      <c r="BW793" s="24"/>
      <c r="BX793" s="24"/>
      <c r="BY793" s="24"/>
      <c r="BZ793" s="24"/>
      <c r="CA793" s="24"/>
      <c r="CB793" s="24"/>
      <c r="CC793" s="24"/>
      <c r="CD793" s="24"/>
    </row>
    <row r="794" spans="2:82" ht="16.5" customHeight="1" x14ac:dyDescent="0.3">
      <c r="B794" s="26"/>
      <c r="C794" s="26"/>
      <c r="D794" s="26"/>
      <c r="E794" s="26"/>
      <c r="F794" s="26"/>
      <c r="G794" s="26"/>
      <c r="H794" s="24"/>
      <c r="I794" s="27"/>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c r="BF794" s="24"/>
      <c r="BG794" s="24"/>
      <c r="BH794" s="24"/>
      <c r="BI794" s="24"/>
      <c r="BJ794" s="24"/>
      <c r="BK794" s="24"/>
      <c r="BL794" s="24"/>
      <c r="BM794" s="24"/>
      <c r="BN794" s="24"/>
      <c r="BO794" s="24"/>
      <c r="BP794" s="24"/>
      <c r="BQ794" s="24"/>
      <c r="BR794" s="24"/>
      <c r="BS794" s="24"/>
      <c r="BT794" s="24"/>
      <c r="BU794" s="24"/>
      <c r="BV794" s="24"/>
      <c r="BW794" s="24"/>
      <c r="BX794" s="24"/>
      <c r="BY794" s="24"/>
      <c r="BZ794" s="24"/>
      <c r="CA794" s="24"/>
      <c r="CB794" s="24"/>
      <c r="CC794" s="24"/>
      <c r="CD794" s="24"/>
    </row>
    <row r="795" spans="2:82" ht="16.5" customHeight="1" x14ac:dyDescent="0.3">
      <c r="B795" s="26"/>
      <c r="C795" s="26"/>
      <c r="D795" s="26"/>
      <c r="E795" s="26"/>
      <c r="F795" s="26"/>
      <c r="G795" s="26"/>
      <c r="H795" s="24"/>
      <c r="I795" s="27"/>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c r="BA795" s="24"/>
      <c r="BB795" s="24"/>
      <c r="BC795" s="24"/>
      <c r="BD795" s="24"/>
      <c r="BE795" s="24"/>
      <c r="BF795" s="24"/>
      <c r="BG795" s="24"/>
      <c r="BH795" s="24"/>
      <c r="BI795" s="24"/>
      <c r="BJ795" s="24"/>
      <c r="BK795" s="24"/>
      <c r="BL795" s="24"/>
      <c r="BM795" s="24"/>
      <c r="BN795" s="24"/>
      <c r="BO795" s="24"/>
      <c r="BP795" s="24"/>
      <c r="BQ795" s="24"/>
      <c r="BR795" s="24"/>
      <c r="BS795" s="24"/>
      <c r="BT795" s="24"/>
      <c r="BU795" s="24"/>
      <c r="BV795" s="24"/>
      <c r="BW795" s="24"/>
      <c r="BX795" s="24"/>
      <c r="BY795" s="24"/>
      <c r="BZ795" s="24"/>
      <c r="CA795" s="24"/>
      <c r="CB795" s="24"/>
      <c r="CC795" s="24"/>
      <c r="CD795" s="24"/>
    </row>
    <row r="796" spans="2:82" ht="16.5" customHeight="1" x14ac:dyDescent="0.3">
      <c r="B796" s="26"/>
      <c r="C796" s="26"/>
      <c r="D796" s="26"/>
      <c r="E796" s="26"/>
      <c r="F796" s="26"/>
      <c r="G796" s="26"/>
      <c r="H796" s="24"/>
      <c r="I796" s="27"/>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c r="BA796" s="24"/>
      <c r="BB796" s="24"/>
      <c r="BC796" s="24"/>
      <c r="BD796" s="24"/>
      <c r="BE796" s="24"/>
      <c r="BF796" s="24"/>
      <c r="BG796" s="24"/>
      <c r="BH796" s="24"/>
      <c r="BI796" s="24"/>
      <c r="BJ796" s="24"/>
      <c r="BK796" s="24"/>
      <c r="BL796" s="24"/>
      <c r="BM796" s="24"/>
      <c r="BN796" s="24"/>
      <c r="BO796" s="24"/>
      <c r="BP796" s="24"/>
      <c r="BQ796" s="24"/>
      <c r="BR796" s="24"/>
      <c r="BS796" s="24"/>
      <c r="BT796" s="24"/>
      <c r="BU796" s="24"/>
      <c r="BV796" s="24"/>
      <c r="BW796" s="24"/>
      <c r="BX796" s="24"/>
      <c r="BY796" s="24"/>
      <c r="BZ796" s="24"/>
      <c r="CA796" s="24"/>
      <c r="CB796" s="24"/>
      <c r="CC796" s="24"/>
      <c r="CD796" s="24"/>
    </row>
    <row r="797" spans="2:82" ht="16.5" customHeight="1" x14ac:dyDescent="0.3">
      <c r="B797" s="26"/>
      <c r="C797" s="26"/>
      <c r="D797" s="26"/>
      <c r="E797" s="26"/>
      <c r="F797" s="26"/>
      <c r="G797" s="26"/>
      <c r="H797" s="24"/>
      <c r="I797" s="27"/>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c r="BA797" s="24"/>
      <c r="BB797" s="24"/>
      <c r="BC797" s="24"/>
      <c r="BD797" s="24"/>
      <c r="BE797" s="24"/>
      <c r="BF797" s="24"/>
      <c r="BG797" s="24"/>
      <c r="BH797" s="24"/>
      <c r="BI797" s="24"/>
      <c r="BJ797" s="24"/>
      <c r="BK797" s="24"/>
      <c r="BL797" s="24"/>
      <c r="BM797" s="24"/>
      <c r="BN797" s="24"/>
      <c r="BO797" s="24"/>
      <c r="BP797" s="24"/>
      <c r="BQ797" s="24"/>
      <c r="BR797" s="24"/>
      <c r="BS797" s="24"/>
      <c r="BT797" s="24"/>
      <c r="BU797" s="24"/>
      <c r="BV797" s="24"/>
      <c r="BW797" s="24"/>
      <c r="BX797" s="24"/>
      <c r="BY797" s="24"/>
      <c r="BZ797" s="24"/>
      <c r="CA797" s="24"/>
      <c r="CB797" s="24"/>
      <c r="CC797" s="24"/>
      <c r="CD797" s="24"/>
    </row>
    <row r="798" spans="2:82" ht="16.5" customHeight="1" x14ac:dyDescent="0.3">
      <c r="B798" s="26"/>
      <c r="C798" s="26"/>
      <c r="D798" s="26"/>
      <c r="E798" s="26"/>
      <c r="F798" s="26"/>
      <c r="G798" s="26"/>
      <c r="H798" s="24"/>
      <c r="I798" s="27"/>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
      <c r="BF798" s="24"/>
      <c r="BG798" s="24"/>
      <c r="BH798" s="24"/>
      <c r="BI798" s="24"/>
      <c r="BJ798" s="24"/>
      <c r="BK798" s="24"/>
      <c r="BL798" s="24"/>
      <c r="BM798" s="24"/>
      <c r="BN798" s="24"/>
      <c r="BO798" s="24"/>
      <c r="BP798" s="24"/>
      <c r="BQ798" s="24"/>
      <c r="BR798" s="24"/>
      <c r="BS798" s="24"/>
      <c r="BT798" s="24"/>
      <c r="BU798" s="24"/>
      <c r="BV798" s="24"/>
      <c r="BW798" s="24"/>
      <c r="BX798" s="24"/>
      <c r="BY798" s="24"/>
      <c r="BZ798" s="24"/>
      <c r="CA798" s="24"/>
      <c r="CB798" s="24"/>
      <c r="CC798" s="24"/>
      <c r="CD798" s="24"/>
    </row>
    <row r="799" spans="2:82" ht="16.5" customHeight="1" x14ac:dyDescent="0.3">
      <c r="B799" s="26"/>
      <c r="C799" s="26"/>
      <c r="D799" s="26"/>
      <c r="E799" s="26"/>
      <c r="F799" s="26"/>
      <c r="G799" s="26"/>
      <c r="H799" s="24"/>
      <c r="I799" s="27"/>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c r="BF799" s="24"/>
      <c r="BG799" s="24"/>
      <c r="BH799" s="24"/>
      <c r="BI799" s="24"/>
      <c r="BJ799" s="24"/>
      <c r="BK799" s="24"/>
      <c r="BL799" s="24"/>
      <c r="BM799" s="24"/>
      <c r="BN799" s="24"/>
      <c r="BO799" s="24"/>
      <c r="BP799" s="24"/>
      <c r="BQ799" s="24"/>
      <c r="BR799" s="24"/>
      <c r="BS799" s="24"/>
      <c r="BT799" s="24"/>
      <c r="BU799" s="24"/>
      <c r="BV799" s="24"/>
      <c r="BW799" s="24"/>
      <c r="BX799" s="24"/>
      <c r="BY799" s="24"/>
      <c r="BZ799" s="24"/>
      <c r="CA799" s="24"/>
      <c r="CB799" s="24"/>
      <c r="CC799" s="24"/>
      <c r="CD799" s="24"/>
    </row>
    <row r="800" spans="2:82" ht="16.5" customHeight="1" x14ac:dyDescent="0.3">
      <c r="B800" s="26"/>
      <c r="C800" s="26"/>
      <c r="D800" s="26"/>
      <c r="E800" s="26"/>
      <c r="F800" s="26"/>
      <c r="G800" s="26"/>
      <c r="H800" s="24"/>
      <c r="I800" s="27"/>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M800" s="24"/>
      <c r="BN800" s="24"/>
      <c r="BO800" s="24"/>
      <c r="BP800" s="24"/>
      <c r="BQ800" s="24"/>
      <c r="BR800" s="24"/>
      <c r="BS800" s="24"/>
      <c r="BT800" s="24"/>
      <c r="BU800" s="24"/>
      <c r="BV800" s="24"/>
      <c r="BW800" s="24"/>
      <c r="BX800" s="24"/>
      <c r="BY800" s="24"/>
      <c r="BZ800" s="24"/>
      <c r="CA800" s="24"/>
      <c r="CB800" s="24"/>
      <c r="CC800" s="24"/>
      <c r="CD800" s="24"/>
    </row>
    <row r="801" spans="2:82" ht="16.5" customHeight="1" x14ac:dyDescent="0.3">
      <c r="B801" s="26"/>
      <c r="C801" s="26"/>
      <c r="D801" s="26"/>
      <c r="E801" s="26"/>
      <c r="F801" s="26"/>
      <c r="G801" s="26"/>
      <c r="H801" s="24"/>
      <c r="I801" s="27"/>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c r="BF801" s="24"/>
      <c r="BG801" s="24"/>
      <c r="BH801" s="24"/>
      <c r="BI801" s="24"/>
      <c r="BJ801" s="24"/>
      <c r="BK801" s="24"/>
      <c r="BL801" s="24"/>
      <c r="BM801" s="24"/>
      <c r="BN801" s="24"/>
      <c r="BO801" s="24"/>
      <c r="BP801" s="24"/>
      <c r="BQ801" s="24"/>
      <c r="BR801" s="24"/>
      <c r="BS801" s="24"/>
      <c r="BT801" s="24"/>
      <c r="BU801" s="24"/>
      <c r="BV801" s="24"/>
      <c r="BW801" s="24"/>
      <c r="BX801" s="24"/>
      <c r="BY801" s="24"/>
      <c r="BZ801" s="24"/>
      <c r="CA801" s="24"/>
      <c r="CB801" s="24"/>
      <c r="CC801" s="24"/>
      <c r="CD801" s="24"/>
    </row>
    <row r="802" spans="2:82" ht="16.5" customHeight="1" x14ac:dyDescent="0.3">
      <c r="B802" s="26"/>
      <c r="C802" s="26"/>
      <c r="D802" s="26"/>
      <c r="E802" s="26"/>
      <c r="F802" s="26"/>
      <c r="G802" s="26"/>
      <c r="H802" s="24"/>
      <c r="I802" s="27"/>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c r="BF802" s="24"/>
      <c r="BG802" s="24"/>
      <c r="BH802" s="24"/>
      <c r="BI802" s="24"/>
      <c r="BJ802" s="24"/>
      <c r="BK802" s="24"/>
      <c r="BL802" s="24"/>
      <c r="BM802" s="24"/>
      <c r="BN802" s="24"/>
      <c r="BO802" s="24"/>
      <c r="BP802" s="24"/>
      <c r="BQ802" s="24"/>
      <c r="BR802" s="24"/>
      <c r="BS802" s="24"/>
      <c r="BT802" s="24"/>
      <c r="BU802" s="24"/>
      <c r="BV802" s="24"/>
      <c r="BW802" s="24"/>
      <c r="BX802" s="24"/>
      <c r="BY802" s="24"/>
      <c r="BZ802" s="24"/>
      <c r="CA802" s="24"/>
      <c r="CB802" s="24"/>
      <c r="CC802" s="24"/>
      <c r="CD802" s="24"/>
    </row>
    <row r="803" spans="2:82" ht="16.5" customHeight="1" x14ac:dyDescent="0.3">
      <c r="B803" s="26"/>
      <c r="C803" s="26"/>
      <c r="D803" s="26"/>
      <c r="E803" s="26"/>
      <c r="F803" s="26"/>
      <c r="G803" s="26"/>
      <c r="H803" s="24"/>
      <c r="I803" s="27"/>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c r="BA803" s="24"/>
      <c r="BB803" s="24"/>
      <c r="BC803" s="24"/>
      <c r="BD803" s="24"/>
      <c r="BE803" s="24"/>
      <c r="BF803" s="24"/>
      <c r="BG803" s="24"/>
      <c r="BH803" s="24"/>
      <c r="BI803" s="24"/>
      <c r="BJ803" s="24"/>
      <c r="BK803" s="24"/>
      <c r="BL803" s="24"/>
      <c r="BM803" s="24"/>
      <c r="BN803" s="24"/>
      <c r="BO803" s="24"/>
      <c r="BP803" s="24"/>
      <c r="BQ803" s="24"/>
      <c r="BR803" s="24"/>
      <c r="BS803" s="24"/>
      <c r="BT803" s="24"/>
      <c r="BU803" s="24"/>
      <c r="BV803" s="24"/>
      <c r="BW803" s="24"/>
      <c r="BX803" s="24"/>
      <c r="BY803" s="24"/>
      <c r="BZ803" s="24"/>
      <c r="CA803" s="24"/>
      <c r="CB803" s="24"/>
      <c r="CC803" s="24"/>
      <c r="CD803" s="24"/>
    </row>
    <row r="804" spans="2:82" ht="16.5" customHeight="1" x14ac:dyDescent="0.3">
      <c r="B804" s="26"/>
      <c r="C804" s="26"/>
      <c r="D804" s="26"/>
      <c r="E804" s="26"/>
      <c r="F804" s="26"/>
      <c r="G804" s="26"/>
      <c r="H804" s="24"/>
      <c r="I804" s="27"/>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c r="BA804" s="24"/>
      <c r="BB804" s="24"/>
      <c r="BC804" s="24"/>
      <c r="BD804" s="24"/>
      <c r="BE804" s="24"/>
      <c r="BF804" s="24"/>
      <c r="BG804" s="24"/>
      <c r="BH804" s="24"/>
      <c r="BI804" s="24"/>
      <c r="BJ804" s="24"/>
      <c r="BK804" s="24"/>
      <c r="BL804" s="24"/>
      <c r="BM804" s="24"/>
      <c r="BN804" s="24"/>
      <c r="BO804" s="24"/>
      <c r="BP804" s="24"/>
      <c r="BQ804" s="24"/>
      <c r="BR804" s="24"/>
      <c r="BS804" s="24"/>
      <c r="BT804" s="24"/>
      <c r="BU804" s="24"/>
      <c r="BV804" s="24"/>
      <c r="BW804" s="24"/>
      <c r="BX804" s="24"/>
      <c r="BY804" s="24"/>
      <c r="BZ804" s="24"/>
      <c r="CA804" s="24"/>
      <c r="CB804" s="24"/>
      <c r="CC804" s="24"/>
      <c r="CD804" s="24"/>
    </row>
    <row r="805" spans="2:82" ht="16.5" customHeight="1" x14ac:dyDescent="0.3">
      <c r="B805" s="26"/>
      <c r="C805" s="26"/>
      <c r="D805" s="26"/>
      <c r="E805" s="26"/>
      <c r="F805" s="26"/>
      <c r="G805" s="26"/>
      <c r="H805" s="24"/>
      <c r="I805" s="27"/>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c r="BA805" s="24"/>
      <c r="BB805" s="24"/>
      <c r="BC805" s="24"/>
      <c r="BD805" s="24"/>
      <c r="BE805" s="24"/>
      <c r="BF805" s="24"/>
      <c r="BG805" s="24"/>
      <c r="BH805" s="24"/>
      <c r="BI805" s="24"/>
      <c r="BJ805" s="24"/>
      <c r="BK805" s="24"/>
      <c r="BL805" s="24"/>
      <c r="BM805" s="24"/>
      <c r="BN805" s="24"/>
      <c r="BO805" s="24"/>
      <c r="BP805" s="24"/>
      <c r="BQ805" s="24"/>
      <c r="BR805" s="24"/>
      <c r="BS805" s="24"/>
      <c r="BT805" s="24"/>
      <c r="BU805" s="24"/>
      <c r="BV805" s="24"/>
      <c r="BW805" s="24"/>
      <c r="BX805" s="24"/>
      <c r="BY805" s="24"/>
      <c r="BZ805" s="24"/>
      <c r="CA805" s="24"/>
      <c r="CB805" s="24"/>
      <c r="CC805" s="24"/>
      <c r="CD805" s="24"/>
    </row>
    <row r="806" spans="2:82" ht="16.5" customHeight="1" x14ac:dyDescent="0.3">
      <c r="B806" s="26"/>
      <c r="C806" s="26"/>
      <c r="D806" s="26"/>
      <c r="E806" s="26"/>
      <c r="F806" s="26"/>
      <c r="G806" s="26"/>
      <c r="H806" s="24"/>
      <c r="I806" s="27"/>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c r="BA806" s="24"/>
      <c r="BB806" s="24"/>
      <c r="BC806" s="24"/>
      <c r="BD806" s="24"/>
      <c r="BE806" s="24"/>
      <c r="BF806" s="24"/>
      <c r="BG806" s="24"/>
      <c r="BH806" s="24"/>
      <c r="BI806" s="24"/>
      <c r="BJ806" s="24"/>
      <c r="BK806" s="24"/>
      <c r="BL806" s="24"/>
      <c r="BM806" s="24"/>
      <c r="BN806" s="24"/>
      <c r="BO806" s="24"/>
      <c r="BP806" s="24"/>
      <c r="BQ806" s="24"/>
      <c r="BR806" s="24"/>
      <c r="BS806" s="24"/>
      <c r="BT806" s="24"/>
      <c r="BU806" s="24"/>
      <c r="BV806" s="24"/>
      <c r="BW806" s="24"/>
      <c r="BX806" s="24"/>
      <c r="BY806" s="24"/>
      <c r="BZ806" s="24"/>
      <c r="CA806" s="24"/>
      <c r="CB806" s="24"/>
      <c r="CC806" s="24"/>
      <c r="CD806" s="24"/>
    </row>
    <row r="807" spans="2:82" ht="16.5" customHeight="1" x14ac:dyDescent="0.3">
      <c r="B807" s="26"/>
      <c r="C807" s="26"/>
      <c r="D807" s="26"/>
      <c r="E807" s="26"/>
      <c r="F807" s="26"/>
      <c r="G807" s="26"/>
      <c r="H807" s="24"/>
      <c r="I807" s="27"/>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c r="BC807" s="24"/>
      <c r="BD807" s="24"/>
      <c r="BE807" s="24"/>
      <c r="BF807" s="24"/>
      <c r="BG807" s="24"/>
      <c r="BH807" s="24"/>
      <c r="BI807" s="24"/>
      <c r="BJ807" s="24"/>
      <c r="BK807" s="24"/>
      <c r="BL807" s="24"/>
      <c r="BM807" s="24"/>
      <c r="BN807" s="24"/>
      <c r="BO807" s="24"/>
      <c r="BP807" s="24"/>
      <c r="BQ807" s="24"/>
      <c r="BR807" s="24"/>
      <c r="BS807" s="24"/>
      <c r="BT807" s="24"/>
      <c r="BU807" s="24"/>
      <c r="BV807" s="24"/>
      <c r="BW807" s="24"/>
      <c r="BX807" s="24"/>
      <c r="BY807" s="24"/>
      <c r="BZ807" s="24"/>
      <c r="CA807" s="24"/>
      <c r="CB807" s="24"/>
      <c r="CC807" s="24"/>
      <c r="CD807" s="24"/>
    </row>
    <row r="808" spans="2:82" ht="16.5" customHeight="1" x14ac:dyDescent="0.3">
      <c r="B808" s="26"/>
      <c r="C808" s="26"/>
      <c r="D808" s="26"/>
      <c r="E808" s="26"/>
      <c r="F808" s="26"/>
      <c r="G808" s="26"/>
      <c r="H808" s="24"/>
      <c r="I808" s="27"/>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c r="BC808" s="24"/>
      <c r="BD808" s="24"/>
      <c r="BE808" s="24"/>
      <c r="BF808" s="24"/>
      <c r="BG808" s="24"/>
      <c r="BH808" s="24"/>
      <c r="BI808" s="24"/>
      <c r="BJ808" s="24"/>
      <c r="BK808" s="24"/>
      <c r="BL808" s="24"/>
      <c r="BM808" s="24"/>
      <c r="BN808" s="24"/>
      <c r="BO808" s="24"/>
      <c r="BP808" s="24"/>
      <c r="BQ808" s="24"/>
      <c r="BR808" s="24"/>
      <c r="BS808" s="24"/>
      <c r="BT808" s="24"/>
      <c r="BU808" s="24"/>
      <c r="BV808" s="24"/>
      <c r="BW808" s="24"/>
      <c r="BX808" s="24"/>
      <c r="BY808" s="24"/>
      <c r="BZ808" s="24"/>
      <c r="CA808" s="24"/>
      <c r="CB808" s="24"/>
      <c r="CC808" s="24"/>
      <c r="CD808" s="24"/>
    </row>
    <row r="809" spans="2:82" ht="16.5" customHeight="1" x14ac:dyDescent="0.3">
      <c r="B809" s="26"/>
      <c r="C809" s="26"/>
      <c r="D809" s="26"/>
      <c r="E809" s="26"/>
      <c r="F809" s="26"/>
      <c r="G809" s="26"/>
      <c r="H809" s="24"/>
      <c r="I809" s="27"/>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C809" s="24"/>
      <c r="BD809" s="24"/>
      <c r="BE809" s="24"/>
      <c r="BF809" s="24"/>
      <c r="BG809" s="24"/>
      <c r="BH809" s="24"/>
      <c r="BI809" s="24"/>
      <c r="BJ809" s="24"/>
      <c r="BK809" s="24"/>
      <c r="BL809" s="24"/>
      <c r="BM809" s="24"/>
      <c r="BN809" s="24"/>
      <c r="BO809" s="24"/>
      <c r="BP809" s="24"/>
      <c r="BQ809" s="24"/>
      <c r="BR809" s="24"/>
      <c r="BS809" s="24"/>
      <c r="BT809" s="24"/>
      <c r="BU809" s="24"/>
      <c r="BV809" s="24"/>
      <c r="BW809" s="24"/>
      <c r="BX809" s="24"/>
      <c r="BY809" s="24"/>
      <c r="BZ809" s="24"/>
      <c r="CA809" s="24"/>
      <c r="CB809" s="24"/>
      <c r="CC809" s="24"/>
      <c r="CD809" s="24"/>
    </row>
    <row r="810" spans="2:82" ht="16.5" customHeight="1" x14ac:dyDescent="0.3">
      <c r="B810" s="26"/>
      <c r="C810" s="26"/>
      <c r="D810" s="26"/>
      <c r="E810" s="26"/>
      <c r="F810" s="26"/>
      <c r="G810" s="26"/>
      <c r="H810" s="24"/>
      <c r="I810" s="27"/>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c r="BC810" s="24"/>
      <c r="BD810" s="24"/>
      <c r="BE810" s="24"/>
      <c r="BF810" s="24"/>
      <c r="BG810" s="24"/>
      <c r="BH810" s="24"/>
      <c r="BI810" s="24"/>
      <c r="BJ810" s="24"/>
      <c r="BK810" s="24"/>
      <c r="BL810" s="24"/>
      <c r="BM810" s="24"/>
      <c r="BN810" s="24"/>
      <c r="BO810" s="24"/>
      <c r="BP810" s="24"/>
      <c r="BQ810" s="24"/>
      <c r="BR810" s="24"/>
      <c r="BS810" s="24"/>
      <c r="BT810" s="24"/>
      <c r="BU810" s="24"/>
      <c r="BV810" s="24"/>
      <c r="BW810" s="24"/>
      <c r="BX810" s="24"/>
      <c r="BY810" s="24"/>
      <c r="BZ810" s="24"/>
      <c r="CA810" s="24"/>
      <c r="CB810" s="24"/>
      <c r="CC810" s="24"/>
      <c r="CD810" s="24"/>
    </row>
    <row r="811" spans="2:82" ht="16.5" customHeight="1" x14ac:dyDescent="0.3">
      <c r="B811" s="26"/>
      <c r="C811" s="26"/>
      <c r="D811" s="26"/>
      <c r="E811" s="26"/>
      <c r="F811" s="26"/>
      <c r="G811" s="26"/>
      <c r="H811" s="24"/>
      <c r="I811" s="27"/>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c r="BC811" s="24"/>
      <c r="BD811" s="24"/>
      <c r="BE811" s="24"/>
      <c r="BF811" s="24"/>
      <c r="BG811" s="24"/>
      <c r="BH811" s="24"/>
      <c r="BI811" s="24"/>
      <c r="BJ811" s="24"/>
      <c r="BK811" s="24"/>
      <c r="BL811" s="24"/>
      <c r="BM811" s="24"/>
      <c r="BN811" s="24"/>
      <c r="BO811" s="24"/>
      <c r="BP811" s="24"/>
      <c r="BQ811" s="24"/>
      <c r="BR811" s="24"/>
      <c r="BS811" s="24"/>
      <c r="BT811" s="24"/>
      <c r="BU811" s="24"/>
      <c r="BV811" s="24"/>
      <c r="BW811" s="24"/>
      <c r="BX811" s="24"/>
      <c r="BY811" s="24"/>
      <c r="BZ811" s="24"/>
      <c r="CA811" s="24"/>
      <c r="CB811" s="24"/>
      <c r="CC811" s="24"/>
      <c r="CD811" s="24"/>
    </row>
    <row r="812" spans="2:82" ht="16.5" customHeight="1" x14ac:dyDescent="0.3">
      <c r="B812" s="26"/>
      <c r="C812" s="26"/>
      <c r="D812" s="26"/>
      <c r="E812" s="26"/>
      <c r="F812" s="26"/>
      <c r="G812" s="26"/>
      <c r="H812" s="24"/>
      <c r="I812" s="27"/>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c r="BA812" s="24"/>
      <c r="BB812" s="24"/>
      <c r="BC812" s="24"/>
      <c r="BD812" s="24"/>
      <c r="BE812" s="24"/>
      <c r="BF812" s="24"/>
      <c r="BG812" s="24"/>
      <c r="BH812" s="24"/>
      <c r="BI812" s="24"/>
      <c r="BJ812" s="24"/>
      <c r="BK812" s="24"/>
      <c r="BL812" s="24"/>
      <c r="BM812" s="24"/>
      <c r="BN812" s="24"/>
      <c r="BO812" s="24"/>
      <c r="BP812" s="24"/>
      <c r="BQ812" s="24"/>
      <c r="BR812" s="24"/>
      <c r="BS812" s="24"/>
      <c r="BT812" s="24"/>
      <c r="BU812" s="24"/>
      <c r="BV812" s="24"/>
      <c r="BW812" s="24"/>
      <c r="BX812" s="24"/>
      <c r="BY812" s="24"/>
      <c r="BZ812" s="24"/>
      <c r="CA812" s="24"/>
      <c r="CB812" s="24"/>
      <c r="CC812" s="24"/>
      <c r="CD812" s="24"/>
    </row>
    <row r="813" spans="2:82" ht="16.5" customHeight="1" x14ac:dyDescent="0.3">
      <c r="B813" s="26"/>
      <c r="C813" s="26"/>
      <c r="D813" s="26"/>
      <c r="E813" s="26"/>
      <c r="F813" s="26"/>
      <c r="G813" s="26"/>
      <c r="H813" s="24"/>
      <c r="I813" s="27"/>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c r="BA813" s="24"/>
      <c r="BB813" s="24"/>
      <c r="BC813" s="24"/>
      <c r="BD813" s="24"/>
      <c r="BE813" s="24"/>
      <c r="BF813" s="24"/>
      <c r="BG813" s="24"/>
      <c r="BH813" s="24"/>
      <c r="BI813" s="24"/>
      <c r="BJ813" s="24"/>
      <c r="BK813" s="24"/>
      <c r="BL813" s="24"/>
      <c r="BM813" s="24"/>
      <c r="BN813" s="24"/>
      <c r="BO813" s="24"/>
      <c r="BP813" s="24"/>
      <c r="BQ813" s="24"/>
      <c r="BR813" s="24"/>
      <c r="BS813" s="24"/>
      <c r="BT813" s="24"/>
      <c r="BU813" s="24"/>
      <c r="BV813" s="24"/>
      <c r="BW813" s="24"/>
      <c r="BX813" s="24"/>
      <c r="BY813" s="24"/>
      <c r="BZ813" s="24"/>
      <c r="CA813" s="24"/>
      <c r="CB813" s="24"/>
      <c r="CC813" s="24"/>
      <c r="CD813" s="24"/>
    </row>
    <row r="814" spans="2:82" ht="16.5" customHeight="1" x14ac:dyDescent="0.3">
      <c r="B814" s="26"/>
      <c r="C814" s="26"/>
      <c r="D814" s="26"/>
      <c r="E814" s="26"/>
      <c r="F814" s="26"/>
      <c r="G814" s="26"/>
      <c r="H814" s="24"/>
      <c r="I814" s="27"/>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c r="BA814" s="24"/>
      <c r="BB814" s="24"/>
      <c r="BC814" s="24"/>
      <c r="BD814" s="24"/>
      <c r="BE814" s="24"/>
      <c r="BF814" s="24"/>
      <c r="BG814" s="24"/>
      <c r="BH814" s="24"/>
      <c r="BI814" s="24"/>
      <c r="BJ814" s="24"/>
      <c r="BK814" s="24"/>
      <c r="BL814" s="24"/>
      <c r="BM814" s="24"/>
      <c r="BN814" s="24"/>
      <c r="BO814" s="24"/>
      <c r="BP814" s="24"/>
      <c r="BQ814" s="24"/>
      <c r="BR814" s="24"/>
      <c r="BS814" s="24"/>
      <c r="BT814" s="24"/>
      <c r="BU814" s="24"/>
      <c r="BV814" s="24"/>
      <c r="BW814" s="24"/>
      <c r="BX814" s="24"/>
      <c r="BY814" s="24"/>
      <c r="BZ814" s="24"/>
      <c r="CA814" s="24"/>
      <c r="CB814" s="24"/>
      <c r="CC814" s="24"/>
      <c r="CD814" s="24"/>
    </row>
    <row r="815" spans="2:82" ht="16.5" customHeight="1" x14ac:dyDescent="0.3">
      <c r="B815" s="26"/>
      <c r="C815" s="26"/>
      <c r="D815" s="26"/>
      <c r="E815" s="26"/>
      <c r="F815" s="26"/>
      <c r="G815" s="26"/>
      <c r="H815" s="24"/>
      <c r="I815" s="27"/>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c r="BA815" s="24"/>
      <c r="BB815" s="24"/>
      <c r="BC815" s="24"/>
      <c r="BD815" s="24"/>
      <c r="BE815" s="24"/>
      <c r="BF815" s="24"/>
      <c r="BG815" s="24"/>
      <c r="BH815" s="24"/>
      <c r="BI815" s="24"/>
      <c r="BJ815" s="24"/>
      <c r="BK815" s="24"/>
      <c r="BL815" s="24"/>
      <c r="BM815" s="24"/>
      <c r="BN815" s="24"/>
      <c r="BO815" s="24"/>
      <c r="BP815" s="24"/>
      <c r="BQ815" s="24"/>
      <c r="BR815" s="24"/>
      <c r="BS815" s="24"/>
      <c r="BT815" s="24"/>
      <c r="BU815" s="24"/>
      <c r="BV815" s="24"/>
      <c r="BW815" s="24"/>
      <c r="BX815" s="24"/>
      <c r="BY815" s="24"/>
      <c r="BZ815" s="24"/>
      <c r="CA815" s="24"/>
      <c r="CB815" s="24"/>
      <c r="CC815" s="24"/>
      <c r="CD815" s="24"/>
    </row>
    <row r="816" spans="2:82" ht="16.5" customHeight="1" x14ac:dyDescent="0.3">
      <c r="B816" s="26"/>
      <c r="C816" s="26"/>
      <c r="D816" s="26"/>
      <c r="E816" s="26"/>
      <c r="F816" s="26"/>
      <c r="G816" s="26"/>
      <c r="H816" s="24"/>
      <c r="I816" s="27"/>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c r="BA816" s="24"/>
      <c r="BB816" s="24"/>
      <c r="BC816" s="24"/>
      <c r="BD816" s="24"/>
      <c r="BE816" s="24"/>
      <c r="BF816" s="24"/>
      <c r="BG816" s="24"/>
      <c r="BH816" s="24"/>
      <c r="BI816" s="24"/>
      <c r="BJ816" s="24"/>
      <c r="BK816" s="24"/>
      <c r="BL816" s="24"/>
      <c r="BM816" s="24"/>
      <c r="BN816" s="24"/>
      <c r="BO816" s="24"/>
      <c r="BP816" s="24"/>
      <c r="BQ816" s="24"/>
      <c r="BR816" s="24"/>
      <c r="BS816" s="24"/>
      <c r="BT816" s="24"/>
      <c r="BU816" s="24"/>
      <c r="BV816" s="24"/>
      <c r="BW816" s="24"/>
      <c r="BX816" s="24"/>
      <c r="BY816" s="24"/>
      <c r="BZ816" s="24"/>
      <c r="CA816" s="24"/>
      <c r="CB816" s="24"/>
      <c r="CC816" s="24"/>
      <c r="CD816" s="24"/>
    </row>
    <row r="817" spans="2:82" ht="16.5" customHeight="1" x14ac:dyDescent="0.3">
      <c r="B817" s="26"/>
      <c r="C817" s="26"/>
      <c r="D817" s="26"/>
      <c r="E817" s="26"/>
      <c r="F817" s="26"/>
      <c r="G817" s="26"/>
      <c r="H817" s="24"/>
      <c r="I817" s="27"/>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c r="BA817" s="24"/>
      <c r="BB817" s="24"/>
      <c r="BC817" s="24"/>
      <c r="BD817" s="24"/>
      <c r="BE817" s="24"/>
      <c r="BF817" s="24"/>
      <c r="BG817" s="24"/>
      <c r="BH817" s="24"/>
      <c r="BI817" s="24"/>
      <c r="BJ817" s="24"/>
      <c r="BK817" s="24"/>
      <c r="BL817" s="24"/>
      <c r="BM817" s="24"/>
      <c r="BN817" s="24"/>
      <c r="BO817" s="24"/>
      <c r="BP817" s="24"/>
      <c r="BQ817" s="24"/>
      <c r="BR817" s="24"/>
      <c r="BS817" s="24"/>
      <c r="BT817" s="24"/>
      <c r="BU817" s="24"/>
      <c r="BV817" s="24"/>
      <c r="BW817" s="24"/>
      <c r="BX817" s="24"/>
      <c r="BY817" s="24"/>
      <c r="BZ817" s="24"/>
      <c r="CA817" s="24"/>
      <c r="CB817" s="24"/>
      <c r="CC817" s="24"/>
      <c r="CD817" s="24"/>
    </row>
    <row r="818" spans="2:82" ht="16.5" customHeight="1" x14ac:dyDescent="0.3">
      <c r="B818" s="26"/>
      <c r="C818" s="26"/>
      <c r="D818" s="26"/>
      <c r="E818" s="26"/>
      <c r="F818" s="26"/>
      <c r="G818" s="26"/>
      <c r="H818" s="24"/>
      <c r="I818" s="27"/>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c r="BA818" s="24"/>
      <c r="BB818" s="24"/>
      <c r="BC818" s="24"/>
      <c r="BD818" s="24"/>
      <c r="BE818" s="24"/>
      <c r="BF818" s="24"/>
      <c r="BG818" s="24"/>
      <c r="BH818" s="24"/>
      <c r="BI818" s="24"/>
      <c r="BJ818" s="24"/>
      <c r="BK818" s="24"/>
      <c r="BL818" s="24"/>
      <c r="BM818" s="24"/>
      <c r="BN818" s="24"/>
      <c r="BO818" s="24"/>
      <c r="BP818" s="24"/>
      <c r="BQ818" s="24"/>
      <c r="BR818" s="24"/>
      <c r="BS818" s="24"/>
      <c r="BT818" s="24"/>
      <c r="BU818" s="24"/>
      <c r="BV818" s="24"/>
      <c r="BW818" s="24"/>
      <c r="BX818" s="24"/>
      <c r="BY818" s="24"/>
      <c r="BZ818" s="24"/>
      <c r="CA818" s="24"/>
      <c r="CB818" s="24"/>
      <c r="CC818" s="24"/>
      <c r="CD818" s="24"/>
    </row>
    <row r="819" spans="2:82" ht="16.5" customHeight="1" x14ac:dyDescent="0.3">
      <c r="B819" s="26"/>
      <c r="C819" s="26"/>
      <c r="D819" s="26"/>
      <c r="E819" s="26"/>
      <c r="F819" s="26"/>
      <c r="G819" s="26"/>
      <c r="H819" s="24"/>
      <c r="I819" s="27"/>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c r="BA819" s="24"/>
      <c r="BB819" s="24"/>
      <c r="BC819" s="24"/>
      <c r="BD819" s="24"/>
      <c r="BE819" s="24"/>
      <c r="BF819" s="24"/>
      <c r="BG819" s="24"/>
      <c r="BH819" s="24"/>
      <c r="BI819" s="24"/>
      <c r="BJ819" s="24"/>
      <c r="BK819" s="24"/>
      <c r="BL819" s="24"/>
      <c r="BM819" s="24"/>
      <c r="BN819" s="24"/>
      <c r="BO819" s="24"/>
      <c r="BP819" s="24"/>
      <c r="BQ819" s="24"/>
      <c r="BR819" s="24"/>
      <c r="BS819" s="24"/>
      <c r="BT819" s="24"/>
      <c r="BU819" s="24"/>
      <c r="BV819" s="24"/>
      <c r="BW819" s="24"/>
      <c r="BX819" s="24"/>
      <c r="BY819" s="24"/>
      <c r="BZ819" s="24"/>
      <c r="CA819" s="24"/>
      <c r="CB819" s="24"/>
      <c r="CC819" s="24"/>
      <c r="CD819" s="24"/>
    </row>
    <row r="820" spans="2:82" ht="16.5" customHeight="1" x14ac:dyDescent="0.3">
      <c r="B820" s="26"/>
      <c r="C820" s="26"/>
      <c r="D820" s="26"/>
      <c r="E820" s="26"/>
      <c r="F820" s="26"/>
      <c r="G820" s="26"/>
      <c r="H820" s="24"/>
      <c r="I820" s="27"/>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c r="BA820" s="24"/>
      <c r="BB820" s="24"/>
      <c r="BC820" s="24"/>
      <c r="BD820" s="24"/>
      <c r="BE820" s="24"/>
      <c r="BF820" s="24"/>
      <c r="BG820" s="24"/>
      <c r="BH820" s="24"/>
      <c r="BI820" s="24"/>
      <c r="BJ820" s="24"/>
      <c r="BK820" s="24"/>
      <c r="BL820" s="24"/>
      <c r="BM820" s="24"/>
      <c r="BN820" s="24"/>
      <c r="BO820" s="24"/>
      <c r="BP820" s="24"/>
      <c r="BQ820" s="24"/>
      <c r="BR820" s="24"/>
      <c r="BS820" s="24"/>
      <c r="BT820" s="24"/>
      <c r="BU820" s="24"/>
      <c r="BV820" s="24"/>
      <c r="BW820" s="24"/>
      <c r="BX820" s="24"/>
      <c r="BY820" s="24"/>
      <c r="BZ820" s="24"/>
      <c r="CA820" s="24"/>
      <c r="CB820" s="24"/>
      <c r="CC820" s="24"/>
      <c r="CD820" s="24"/>
    </row>
    <row r="821" spans="2:82" ht="16.5" customHeight="1" x14ac:dyDescent="0.3">
      <c r="B821" s="26"/>
      <c r="C821" s="26"/>
      <c r="D821" s="26"/>
      <c r="E821" s="26"/>
      <c r="F821" s="26"/>
      <c r="G821" s="26"/>
      <c r="H821" s="24"/>
      <c r="I821" s="27"/>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c r="BA821" s="24"/>
      <c r="BB821" s="24"/>
      <c r="BC821" s="24"/>
      <c r="BD821" s="24"/>
      <c r="BE821" s="24"/>
      <c r="BF821" s="24"/>
      <c r="BG821" s="24"/>
      <c r="BH821" s="24"/>
      <c r="BI821" s="24"/>
      <c r="BJ821" s="24"/>
      <c r="BK821" s="24"/>
      <c r="BL821" s="24"/>
      <c r="BM821" s="24"/>
      <c r="BN821" s="24"/>
      <c r="BO821" s="24"/>
      <c r="BP821" s="24"/>
      <c r="BQ821" s="24"/>
      <c r="BR821" s="24"/>
      <c r="BS821" s="24"/>
      <c r="BT821" s="24"/>
      <c r="BU821" s="24"/>
      <c r="BV821" s="24"/>
      <c r="BW821" s="24"/>
      <c r="BX821" s="24"/>
      <c r="BY821" s="24"/>
      <c r="BZ821" s="24"/>
      <c r="CA821" s="24"/>
      <c r="CB821" s="24"/>
      <c r="CC821" s="24"/>
      <c r="CD821" s="24"/>
    </row>
    <row r="822" spans="2:82" ht="16.5" customHeight="1" x14ac:dyDescent="0.3">
      <c r="B822" s="26"/>
      <c r="C822" s="26"/>
      <c r="D822" s="26"/>
      <c r="E822" s="26"/>
      <c r="F822" s="26"/>
      <c r="G822" s="26"/>
      <c r="H822" s="24"/>
      <c r="I822" s="27"/>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c r="BA822" s="24"/>
      <c r="BB822" s="24"/>
      <c r="BC822" s="24"/>
      <c r="BD822" s="24"/>
      <c r="BE822" s="24"/>
      <c r="BF822" s="24"/>
      <c r="BG822" s="24"/>
      <c r="BH822" s="24"/>
      <c r="BI822" s="24"/>
      <c r="BJ822" s="24"/>
      <c r="BK822" s="24"/>
      <c r="BL822" s="24"/>
      <c r="BM822" s="24"/>
      <c r="BN822" s="24"/>
      <c r="BO822" s="24"/>
      <c r="BP822" s="24"/>
      <c r="BQ822" s="24"/>
      <c r="BR822" s="24"/>
      <c r="BS822" s="24"/>
      <c r="BT822" s="24"/>
      <c r="BU822" s="24"/>
      <c r="BV822" s="24"/>
      <c r="BW822" s="24"/>
      <c r="BX822" s="24"/>
      <c r="BY822" s="24"/>
      <c r="BZ822" s="24"/>
      <c r="CA822" s="24"/>
      <c r="CB822" s="24"/>
      <c r="CC822" s="24"/>
      <c r="CD822" s="24"/>
    </row>
    <row r="823" spans="2:82" ht="16.5" customHeight="1" x14ac:dyDescent="0.3">
      <c r="B823" s="26"/>
      <c r="C823" s="26"/>
      <c r="D823" s="26"/>
      <c r="E823" s="26"/>
      <c r="F823" s="26"/>
      <c r="G823" s="26"/>
      <c r="H823" s="24"/>
      <c r="I823" s="27"/>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c r="BA823" s="24"/>
      <c r="BB823" s="24"/>
      <c r="BC823" s="24"/>
      <c r="BD823" s="24"/>
      <c r="BE823" s="24"/>
      <c r="BF823" s="24"/>
      <c r="BG823" s="24"/>
      <c r="BH823" s="24"/>
      <c r="BI823" s="24"/>
      <c r="BJ823" s="24"/>
      <c r="BK823" s="24"/>
      <c r="BL823" s="24"/>
      <c r="BM823" s="24"/>
      <c r="BN823" s="24"/>
      <c r="BO823" s="24"/>
      <c r="BP823" s="24"/>
      <c r="BQ823" s="24"/>
      <c r="BR823" s="24"/>
      <c r="BS823" s="24"/>
      <c r="BT823" s="24"/>
      <c r="BU823" s="24"/>
      <c r="BV823" s="24"/>
      <c r="BW823" s="24"/>
      <c r="BX823" s="24"/>
      <c r="BY823" s="24"/>
      <c r="BZ823" s="24"/>
      <c r="CA823" s="24"/>
      <c r="CB823" s="24"/>
      <c r="CC823" s="24"/>
      <c r="CD823" s="24"/>
    </row>
    <row r="824" spans="2:82" ht="16.5" customHeight="1" x14ac:dyDescent="0.3">
      <c r="B824" s="26"/>
      <c r="C824" s="26"/>
      <c r="D824" s="26"/>
      <c r="E824" s="26"/>
      <c r="F824" s="26"/>
      <c r="G824" s="26"/>
      <c r="H824" s="24"/>
      <c r="I824" s="27"/>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c r="BA824" s="24"/>
      <c r="BB824" s="24"/>
      <c r="BC824" s="24"/>
      <c r="BD824" s="24"/>
      <c r="BE824" s="24"/>
      <c r="BF824" s="24"/>
      <c r="BG824" s="24"/>
      <c r="BH824" s="24"/>
      <c r="BI824" s="24"/>
      <c r="BJ824" s="24"/>
      <c r="BK824" s="24"/>
      <c r="BL824" s="24"/>
      <c r="BM824" s="24"/>
      <c r="BN824" s="24"/>
      <c r="BO824" s="24"/>
      <c r="BP824" s="24"/>
      <c r="BQ824" s="24"/>
      <c r="BR824" s="24"/>
      <c r="BS824" s="24"/>
      <c r="BT824" s="24"/>
      <c r="BU824" s="24"/>
      <c r="BV824" s="24"/>
      <c r="BW824" s="24"/>
      <c r="BX824" s="24"/>
      <c r="BY824" s="24"/>
      <c r="BZ824" s="24"/>
      <c r="CA824" s="24"/>
      <c r="CB824" s="24"/>
      <c r="CC824" s="24"/>
      <c r="CD824" s="24"/>
    </row>
    <row r="825" spans="2:82" ht="16.5" customHeight="1" x14ac:dyDescent="0.3">
      <c r="B825" s="26"/>
      <c r="C825" s="26"/>
      <c r="D825" s="26"/>
      <c r="E825" s="26"/>
      <c r="F825" s="26"/>
      <c r="G825" s="26"/>
      <c r="H825" s="24"/>
      <c r="I825" s="27"/>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c r="BA825" s="24"/>
      <c r="BB825" s="24"/>
      <c r="BC825" s="24"/>
      <c r="BD825" s="24"/>
      <c r="BE825" s="24"/>
      <c r="BF825" s="24"/>
      <c r="BG825" s="24"/>
      <c r="BH825" s="24"/>
      <c r="BI825" s="24"/>
      <c r="BJ825" s="24"/>
      <c r="BK825" s="24"/>
      <c r="BL825" s="24"/>
      <c r="BM825" s="24"/>
      <c r="BN825" s="24"/>
      <c r="BO825" s="24"/>
      <c r="BP825" s="24"/>
      <c r="BQ825" s="24"/>
      <c r="BR825" s="24"/>
      <c r="BS825" s="24"/>
      <c r="BT825" s="24"/>
      <c r="BU825" s="24"/>
      <c r="BV825" s="24"/>
      <c r="BW825" s="24"/>
      <c r="BX825" s="24"/>
      <c r="BY825" s="24"/>
      <c r="BZ825" s="24"/>
      <c r="CA825" s="24"/>
      <c r="CB825" s="24"/>
      <c r="CC825" s="24"/>
      <c r="CD825" s="24"/>
    </row>
    <row r="826" spans="2:82" ht="16.5" customHeight="1" x14ac:dyDescent="0.3">
      <c r="B826" s="26"/>
      <c r="C826" s="26"/>
      <c r="D826" s="26"/>
      <c r="E826" s="26"/>
      <c r="F826" s="26"/>
      <c r="G826" s="26"/>
      <c r="H826" s="24"/>
      <c r="I826" s="27"/>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c r="BC826" s="24"/>
      <c r="BD826" s="24"/>
      <c r="BE826" s="24"/>
      <c r="BF826" s="24"/>
      <c r="BG826" s="24"/>
      <c r="BH826" s="24"/>
      <c r="BI826" s="24"/>
      <c r="BJ826" s="24"/>
      <c r="BK826" s="24"/>
      <c r="BL826" s="24"/>
      <c r="BM826" s="24"/>
      <c r="BN826" s="24"/>
      <c r="BO826" s="24"/>
      <c r="BP826" s="24"/>
      <c r="BQ826" s="24"/>
      <c r="BR826" s="24"/>
      <c r="BS826" s="24"/>
      <c r="BT826" s="24"/>
      <c r="BU826" s="24"/>
      <c r="BV826" s="24"/>
      <c r="BW826" s="24"/>
      <c r="BX826" s="24"/>
      <c r="BY826" s="24"/>
      <c r="BZ826" s="24"/>
      <c r="CA826" s="24"/>
      <c r="CB826" s="24"/>
      <c r="CC826" s="24"/>
      <c r="CD826" s="24"/>
    </row>
    <row r="827" spans="2:82" ht="16.5" customHeight="1" x14ac:dyDescent="0.3">
      <c r="B827" s="26"/>
      <c r="C827" s="26"/>
      <c r="D827" s="26"/>
      <c r="E827" s="26"/>
      <c r="F827" s="26"/>
      <c r="G827" s="26"/>
      <c r="H827" s="24"/>
      <c r="I827" s="27"/>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c r="BC827" s="24"/>
      <c r="BD827" s="24"/>
      <c r="BE827" s="24"/>
      <c r="BF827" s="24"/>
      <c r="BG827" s="24"/>
      <c r="BH827" s="24"/>
      <c r="BI827" s="24"/>
      <c r="BJ827" s="24"/>
      <c r="BK827" s="24"/>
      <c r="BL827" s="24"/>
      <c r="BM827" s="24"/>
      <c r="BN827" s="24"/>
      <c r="BO827" s="24"/>
      <c r="BP827" s="24"/>
      <c r="BQ827" s="24"/>
      <c r="BR827" s="24"/>
      <c r="BS827" s="24"/>
      <c r="BT827" s="24"/>
      <c r="BU827" s="24"/>
      <c r="BV827" s="24"/>
      <c r="BW827" s="24"/>
      <c r="BX827" s="24"/>
      <c r="BY827" s="24"/>
      <c r="BZ827" s="24"/>
      <c r="CA827" s="24"/>
      <c r="CB827" s="24"/>
      <c r="CC827" s="24"/>
      <c r="CD827" s="24"/>
    </row>
    <row r="828" spans="2:82" ht="16.5" customHeight="1" x14ac:dyDescent="0.3">
      <c r="B828" s="26"/>
      <c r="C828" s="26"/>
      <c r="D828" s="26"/>
      <c r="E828" s="26"/>
      <c r="F828" s="26"/>
      <c r="G828" s="26"/>
      <c r="H828" s="24"/>
      <c r="I828" s="27"/>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C828" s="24"/>
      <c r="BD828" s="24"/>
      <c r="BE828" s="24"/>
      <c r="BF828" s="24"/>
      <c r="BG828" s="24"/>
      <c r="BH828" s="24"/>
      <c r="BI828" s="24"/>
      <c r="BJ828" s="24"/>
      <c r="BK828" s="24"/>
      <c r="BL828" s="24"/>
      <c r="BM828" s="24"/>
      <c r="BN828" s="24"/>
      <c r="BO828" s="24"/>
      <c r="BP828" s="24"/>
      <c r="BQ828" s="24"/>
      <c r="BR828" s="24"/>
      <c r="BS828" s="24"/>
      <c r="BT828" s="24"/>
      <c r="BU828" s="24"/>
      <c r="BV828" s="24"/>
      <c r="BW828" s="24"/>
      <c r="BX828" s="24"/>
      <c r="BY828" s="24"/>
      <c r="BZ828" s="24"/>
      <c r="CA828" s="24"/>
      <c r="CB828" s="24"/>
      <c r="CC828" s="24"/>
      <c r="CD828" s="24"/>
    </row>
    <row r="829" spans="2:82" ht="16.5" customHeight="1" x14ac:dyDescent="0.3">
      <c r="B829" s="26"/>
      <c r="C829" s="26"/>
      <c r="D829" s="26"/>
      <c r="E829" s="26"/>
      <c r="F829" s="26"/>
      <c r="G829" s="26"/>
      <c r="H829" s="24"/>
      <c r="I829" s="27"/>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c r="BC829" s="24"/>
      <c r="BD829" s="24"/>
      <c r="BE829" s="24"/>
      <c r="BF829" s="24"/>
      <c r="BG829" s="24"/>
      <c r="BH829" s="24"/>
      <c r="BI829" s="24"/>
      <c r="BJ829" s="24"/>
      <c r="BK829" s="24"/>
      <c r="BL829" s="24"/>
      <c r="BM829" s="24"/>
      <c r="BN829" s="24"/>
      <c r="BO829" s="24"/>
      <c r="BP829" s="24"/>
      <c r="BQ829" s="24"/>
      <c r="BR829" s="24"/>
      <c r="BS829" s="24"/>
      <c r="BT829" s="24"/>
      <c r="BU829" s="24"/>
      <c r="BV829" s="24"/>
      <c r="BW829" s="24"/>
      <c r="BX829" s="24"/>
      <c r="BY829" s="24"/>
      <c r="BZ829" s="24"/>
      <c r="CA829" s="24"/>
      <c r="CB829" s="24"/>
      <c r="CC829" s="24"/>
      <c r="CD829" s="24"/>
    </row>
    <row r="830" spans="2:82" ht="16.5" customHeight="1" x14ac:dyDescent="0.3">
      <c r="B830" s="26"/>
      <c r="C830" s="26"/>
      <c r="D830" s="26"/>
      <c r="E830" s="26"/>
      <c r="F830" s="26"/>
      <c r="G830" s="26"/>
      <c r="H830" s="24"/>
      <c r="I830" s="27"/>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c r="BC830" s="24"/>
      <c r="BD830" s="24"/>
      <c r="BE830" s="24"/>
      <c r="BF830" s="24"/>
      <c r="BG830" s="24"/>
      <c r="BH830" s="24"/>
      <c r="BI830" s="24"/>
      <c r="BJ830" s="24"/>
      <c r="BK830" s="24"/>
      <c r="BL830" s="24"/>
      <c r="BM830" s="24"/>
      <c r="BN830" s="24"/>
      <c r="BO830" s="24"/>
      <c r="BP830" s="24"/>
      <c r="BQ830" s="24"/>
      <c r="BR830" s="24"/>
      <c r="BS830" s="24"/>
      <c r="BT830" s="24"/>
      <c r="BU830" s="24"/>
      <c r="BV830" s="24"/>
      <c r="BW830" s="24"/>
      <c r="BX830" s="24"/>
      <c r="BY830" s="24"/>
      <c r="BZ830" s="24"/>
      <c r="CA830" s="24"/>
      <c r="CB830" s="24"/>
      <c r="CC830" s="24"/>
      <c r="CD830" s="24"/>
    </row>
    <row r="831" spans="2:82" ht="16.5" customHeight="1" x14ac:dyDescent="0.3">
      <c r="B831" s="26"/>
      <c r="C831" s="26"/>
      <c r="D831" s="26"/>
      <c r="E831" s="26"/>
      <c r="F831" s="26"/>
      <c r="G831" s="26"/>
      <c r="H831" s="24"/>
      <c r="I831" s="27"/>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c r="BA831" s="24"/>
      <c r="BB831" s="24"/>
      <c r="BC831" s="24"/>
      <c r="BD831" s="24"/>
      <c r="BE831" s="24"/>
      <c r="BF831" s="24"/>
      <c r="BG831" s="24"/>
      <c r="BH831" s="24"/>
      <c r="BI831" s="24"/>
      <c r="BJ831" s="24"/>
      <c r="BK831" s="24"/>
      <c r="BL831" s="24"/>
      <c r="BM831" s="24"/>
      <c r="BN831" s="24"/>
      <c r="BO831" s="24"/>
      <c r="BP831" s="24"/>
      <c r="BQ831" s="24"/>
      <c r="BR831" s="24"/>
      <c r="BS831" s="24"/>
      <c r="BT831" s="24"/>
      <c r="BU831" s="24"/>
      <c r="BV831" s="24"/>
      <c r="BW831" s="24"/>
      <c r="BX831" s="24"/>
      <c r="BY831" s="24"/>
      <c r="BZ831" s="24"/>
      <c r="CA831" s="24"/>
      <c r="CB831" s="24"/>
      <c r="CC831" s="24"/>
      <c r="CD831" s="24"/>
    </row>
    <row r="832" spans="2:82" ht="16.5" customHeight="1" x14ac:dyDescent="0.3">
      <c r="B832" s="26"/>
      <c r="C832" s="26"/>
      <c r="D832" s="26"/>
      <c r="E832" s="26"/>
      <c r="F832" s="26"/>
      <c r="G832" s="26"/>
      <c r="H832" s="24"/>
      <c r="I832" s="27"/>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c r="BA832" s="24"/>
      <c r="BB832" s="24"/>
      <c r="BC832" s="24"/>
      <c r="BD832" s="24"/>
      <c r="BE832" s="24"/>
      <c r="BF832" s="24"/>
      <c r="BG832" s="24"/>
      <c r="BH832" s="24"/>
      <c r="BI832" s="24"/>
      <c r="BJ832" s="24"/>
      <c r="BK832" s="24"/>
      <c r="BL832" s="24"/>
      <c r="BM832" s="24"/>
      <c r="BN832" s="24"/>
      <c r="BO832" s="24"/>
      <c r="BP832" s="24"/>
      <c r="BQ832" s="24"/>
      <c r="BR832" s="24"/>
      <c r="BS832" s="24"/>
      <c r="BT832" s="24"/>
      <c r="BU832" s="24"/>
      <c r="BV832" s="24"/>
      <c r="BW832" s="24"/>
      <c r="BX832" s="24"/>
      <c r="BY832" s="24"/>
      <c r="BZ832" s="24"/>
      <c r="CA832" s="24"/>
      <c r="CB832" s="24"/>
      <c r="CC832" s="24"/>
      <c r="CD832" s="24"/>
    </row>
    <row r="833" spans="2:82" ht="16.5" customHeight="1" x14ac:dyDescent="0.3">
      <c r="B833" s="26"/>
      <c r="C833" s="26"/>
      <c r="D833" s="26"/>
      <c r="E833" s="26"/>
      <c r="F833" s="26"/>
      <c r="G833" s="26"/>
      <c r="H833" s="24"/>
      <c r="I833" s="27"/>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c r="BA833" s="24"/>
      <c r="BB833" s="24"/>
      <c r="BC833" s="24"/>
      <c r="BD833" s="24"/>
      <c r="BE833" s="24"/>
      <c r="BF833" s="24"/>
      <c r="BG833" s="24"/>
      <c r="BH833" s="24"/>
      <c r="BI833" s="24"/>
      <c r="BJ833" s="24"/>
      <c r="BK833" s="24"/>
      <c r="BL833" s="24"/>
      <c r="BM833" s="24"/>
      <c r="BN833" s="24"/>
      <c r="BO833" s="24"/>
      <c r="BP833" s="24"/>
      <c r="BQ833" s="24"/>
      <c r="BR833" s="24"/>
      <c r="BS833" s="24"/>
      <c r="BT833" s="24"/>
      <c r="BU833" s="24"/>
      <c r="BV833" s="24"/>
      <c r="BW833" s="24"/>
      <c r="BX833" s="24"/>
      <c r="BY833" s="24"/>
      <c r="BZ833" s="24"/>
      <c r="CA833" s="24"/>
      <c r="CB833" s="24"/>
      <c r="CC833" s="24"/>
      <c r="CD833" s="24"/>
    </row>
    <row r="834" spans="2:82" ht="16.5" customHeight="1" x14ac:dyDescent="0.3">
      <c r="B834" s="26"/>
      <c r="C834" s="26"/>
      <c r="D834" s="26"/>
      <c r="E834" s="26"/>
      <c r="F834" s="26"/>
      <c r="G834" s="26"/>
      <c r="H834" s="24"/>
      <c r="I834" s="27"/>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c r="BA834" s="24"/>
      <c r="BB834" s="24"/>
      <c r="BC834" s="24"/>
      <c r="BD834" s="24"/>
      <c r="BE834" s="24"/>
      <c r="BF834" s="24"/>
      <c r="BG834" s="24"/>
      <c r="BH834" s="24"/>
      <c r="BI834" s="24"/>
      <c r="BJ834" s="24"/>
      <c r="BK834" s="24"/>
      <c r="BL834" s="24"/>
      <c r="BM834" s="24"/>
      <c r="BN834" s="24"/>
      <c r="BO834" s="24"/>
      <c r="BP834" s="24"/>
      <c r="BQ834" s="24"/>
      <c r="BR834" s="24"/>
      <c r="BS834" s="24"/>
      <c r="BT834" s="24"/>
      <c r="BU834" s="24"/>
      <c r="BV834" s="24"/>
      <c r="BW834" s="24"/>
      <c r="BX834" s="24"/>
      <c r="BY834" s="24"/>
      <c r="BZ834" s="24"/>
      <c r="CA834" s="24"/>
      <c r="CB834" s="24"/>
      <c r="CC834" s="24"/>
      <c r="CD834" s="24"/>
    </row>
    <row r="835" spans="2:82" ht="16.5" customHeight="1" x14ac:dyDescent="0.3">
      <c r="B835" s="26"/>
      <c r="C835" s="26"/>
      <c r="D835" s="26"/>
      <c r="E835" s="26"/>
      <c r="F835" s="26"/>
      <c r="G835" s="26"/>
      <c r="H835" s="24"/>
      <c r="I835" s="27"/>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c r="BA835" s="24"/>
      <c r="BB835" s="24"/>
      <c r="BC835" s="24"/>
      <c r="BD835" s="24"/>
      <c r="BE835" s="24"/>
      <c r="BF835" s="24"/>
      <c r="BG835" s="24"/>
      <c r="BH835" s="24"/>
      <c r="BI835" s="24"/>
      <c r="BJ835" s="24"/>
      <c r="BK835" s="24"/>
      <c r="BL835" s="24"/>
      <c r="BM835" s="24"/>
      <c r="BN835" s="24"/>
      <c r="BO835" s="24"/>
      <c r="BP835" s="24"/>
      <c r="BQ835" s="24"/>
      <c r="BR835" s="24"/>
      <c r="BS835" s="24"/>
      <c r="BT835" s="24"/>
      <c r="BU835" s="24"/>
      <c r="BV835" s="24"/>
      <c r="BW835" s="24"/>
      <c r="BX835" s="24"/>
      <c r="BY835" s="24"/>
      <c r="BZ835" s="24"/>
      <c r="CA835" s="24"/>
      <c r="CB835" s="24"/>
      <c r="CC835" s="24"/>
      <c r="CD835" s="24"/>
    </row>
    <row r="836" spans="2:82" ht="16.5" customHeight="1" x14ac:dyDescent="0.3">
      <c r="B836" s="26"/>
      <c r="C836" s="26"/>
      <c r="D836" s="26"/>
      <c r="E836" s="26"/>
      <c r="F836" s="26"/>
      <c r="G836" s="26"/>
      <c r="H836" s="24"/>
      <c r="I836" s="27"/>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c r="BA836" s="24"/>
      <c r="BB836" s="24"/>
      <c r="BC836" s="24"/>
      <c r="BD836" s="24"/>
      <c r="BE836" s="24"/>
      <c r="BF836" s="24"/>
      <c r="BG836" s="24"/>
      <c r="BH836" s="24"/>
      <c r="BI836" s="24"/>
      <c r="BJ836" s="24"/>
      <c r="BK836" s="24"/>
      <c r="BL836" s="24"/>
      <c r="BM836" s="24"/>
      <c r="BN836" s="24"/>
      <c r="BO836" s="24"/>
      <c r="BP836" s="24"/>
      <c r="BQ836" s="24"/>
      <c r="BR836" s="24"/>
      <c r="BS836" s="24"/>
      <c r="BT836" s="24"/>
      <c r="BU836" s="24"/>
      <c r="BV836" s="24"/>
      <c r="BW836" s="24"/>
      <c r="BX836" s="24"/>
      <c r="BY836" s="24"/>
      <c r="BZ836" s="24"/>
      <c r="CA836" s="24"/>
      <c r="CB836" s="24"/>
      <c r="CC836" s="24"/>
      <c r="CD836" s="24"/>
    </row>
    <row r="837" spans="2:82" ht="16.5" customHeight="1" x14ac:dyDescent="0.3">
      <c r="B837" s="26"/>
      <c r="C837" s="26"/>
      <c r="D837" s="26"/>
      <c r="E837" s="26"/>
      <c r="F837" s="26"/>
      <c r="G837" s="26"/>
      <c r="H837" s="24"/>
      <c r="I837" s="27"/>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c r="BA837" s="24"/>
      <c r="BB837" s="24"/>
      <c r="BC837" s="24"/>
      <c r="BD837" s="24"/>
      <c r="BE837" s="24"/>
      <c r="BF837" s="24"/>
      <c r="BG837" s="24"/>
      <c r="BH837" s="24"/>
      <c r="BI837" s="24"/>
      <c r="BJ837" s="24"/>
      <c r="BK837" s="24"/>
      <c r="BL837" s="24"/>
      <c r="BM837" s="24"/>
      <c r="BN837" s="24"/>
      <c r="BO837" s="24"/>
      <c r="BP837" s="24"/>
      <c r="BQ837" s="24"/>
      <c r="BR837" s="24"/>
      <c r="BS837" s="24"/>
      <c r="BT837" s="24"/>
      <c r="BU837" s="24"/>
      <c r="BV837" s="24"/>
      <c r="BW837" s="24"/>
      <c r="BX837" s="24"/>
      <c r="BY837" s="24"/>
      <c r="BZ837" s="24"/>
      <c r="CA837" s="24"/>
      <c r="CB837" s="24"/>
      <c r="CC837" s="24"/>
      <c r="CD837" s="24"/>
    </row>
    <row r="838" spans="2:82" ht="16.5" customHeight="1" x14ac:dyDescent="0.3">
      <c r="B838" s="26"/>
      <c r="C838" s="26"/>
      <c r="D838" s="26"/>
      <c r="E838" s="26"/>
      <c r="F838" s="26"/>
      <c r="G838" s="26"/>
      <c r="H838" s="24"/>
      <c r="I838" s="27"/>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c r="BA838" s="24"/>
      <c r="BB838" s="24"/>
      <c r="BC838" s="24"/>
      <c r="BD838" s="24"/>
      <c r="BE838" s="24"/>
      <c r="BF838" s="24"/>
      <c r="BG838" s="24"/>
      <c r="BH838" s="24"/>
      <c r="BI838" s="24"/>
      <c r="BJ838" s="24"/>
      <c r="BK838" s="24"/>
      <c r="BL838" s="24"/>
      <c r="BM838" s="24"/>
      <c r="BN838" s="24"/>
      <c r="BO838" s="24"/>
      <c r="BP838" s="24"/>
      <c r="BQ838" s="24"/>
      <c r="BR838" s="24"/>
      <c r="BS838" s="24"/>
      <c r="BT838" s="24"/>
      <c r="BU838" s="24"/>
      <c r="BV838" s="24"/>
      <c r="BW838" s="24"/>
      <c r="BX838" s="24"/>
      <c r="BY838" s="24"/>
      <c r="BZ838" s="24"/>
      <c r="CA838" s="24"/>
      <c r="CB838" s="24"/>
      <c r="CC838" s="24"/>
      <c r="CD838" s="24"/>
    </row>
    <row r="839" spans="2:82" ht="16.5" customHeight="1" x14ac:dyDescent="0.3">
      <c r="B839" s="26"/>
      <c r="C839" s="26"/>
      <c r="D839" s="26"/>
      <c r="E839" s="26"/>
      <c r="F839" s="26"/>
      <c r="G839" s="26"/>
      <c r="H839" s="24"/>
      <c r="I839" s="27"/>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c r="BA839" s="24"/>
      <c r="BB839" s="24"/>
      <c r="BC839" s="24"/>
      <c r="BD839" s="24"/>
      <c r="BE839" s="24"/>
      <c r="BF839" s="24"/>
      <c r="BG839" s="24"/>
      <c r="BH839" s="24"/>
      <c r="BI839" s="24"/>
      <c r="BJ839" s="24"/>
      <c r="BK839" s="24"/>
      <c r="BL839" s="24"/>
      <c r="BM839" s="24"/>
      <c r="BN839" s="24"/>
      <c r="BO839" s="24"/>
      <c r="BP839" s="24"/>
      <c r="BQ839" s="24"/>
      <c r="BR839" s="24"/>
      <c r="BS839" s="24"/>
      <c r="BT839" s="24"/>
      <c r="BU839" s="24"/>
      <c r="BV839" s="24"/>
      <c r="BW839" s="24"/>
      <c r="BX839" s="24"/>
      <c r="BY839" s="24"/>
      <c r="BZ839" s="24"/>
      <c r="CA839" s="24"/>
      <c r="CB839" s="24"/>
      <c r="CC839" s="24"/>
      <c r="CD839" s="24"/>
    </row>
    <row r="840" spans="2:82" ht="16.5" customHeight="1" x14ac:dyDescent="0.3">
      <c r="B840" s="26"/>
      <c r="C840" s="26"/>
      <c r="D840" s="26"/>
      <c r="E840" s="26"/>
      <c r="F840" s="26"/>
      <c r="G840" s="26"/>
      <c r="H840" s="24"/>
      <c r="I840" s="27"/>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c r="BA840" s="24"/>
      <c r="BB840" s="24"/>
      <c r="BC840" s="24"/>
      <c r="BD840" s="24"/>
      <c r="BE840" s="24"/>
      <c r="BF840" s="24"/>
      <c r="BG840" s="24"/>
      <c r="BH840" s="24"/>
      <c r="BI840" s="24"/>
      <c r="BJ840" s="24"/>
      <c r="BK840" s="24"/>
      <c r="BL840" s="24"/>
      <c r="BM840" s="24"/>
      <c r="BN840" s="24"/>
      <c r="BO840" s="24"/>
      <c r="BP840" s="24"/>
      <c r="BQ840" s="24"/>
      <c r="BR840" s="24"/>
      <c r="BS840" s="24"/>
      <c r="BT840" s="24"/>
      <c r="BU840" s="24"/>
      <c r="BV840" s="24"/>
      <c r="BW840" s="24"/>
      <c r="BX840" s="24"/>
      <c r="BY840" s="24"/>
      <c r="BZ840" s="24"/>
      <c r="CA840" s="24"/>
      <c r="CB840" s="24"/>
      <c r="CC840" s="24"/>
      <c r="CD840" s="24"/>
    </row>
    <row r="841" spans="2:82" ht="16.5" customHeight="1" x14ac:dyDescent="0.3">
      <c r="B841" s="26"/>
      <c r="C841" s="26"/>
      <c r="D841" s="26"/>
      <c r="E841" s="26"/>
      <c r="F841" s="26"/>
      <c r="G841" s="26"/>
      <c r="H841" s="24"/>
      <c r="I841" s="27"/>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c r="BA841" s="24"/>
      <c r="BB841" s="24"/>
      <c r="BC841" s="24"/>
      <c r="BD841" s="24"/>
      <c r="BE841" s="24"/>
      <c r="BF841" s="24"/>
      <c r="BG841" s="24"/>
      <c r="BH841" s="24"/>
      <c r="BI841" s="24"/>
      <c r="BJ841" s="24"/>
      <c r="BK841" s="24"/>
      <c r="BL841" s="24"/>
      <c r="BM841" s="24"/>
      <c r="BN841" s="24"/>
      <c r="BO841" s="24"/>
      <c r="BP841" s="24"/>
      <c r="BQ841" s="24"/>
      <c r="BR841" s="24"/>
      <c r="BS841" s="24"/>
      <c r="BT841" s="24"/>
      <c r="BU841" s="24"/>
      <c r="BV841" s="24"/>
      <c r="BW841" s="24"/>
      <c r="BX841" s="24"/>
      <c r="BY841" s="24"/>
      <c r="BZ841" s="24"/>
      <c r="CA841" s="24"/>
      <c r="CB841" s="24"/>
      <c r="CC841" s="24"/>
      <c r="CD841" s="24"/>
    </row>
    <row r="842" spans="2:82" ht="16.5" customHeight="1" x14ac:dyDescent="0.3">
      <c r="B842" s="26"/>
      <c r="C842" s="26"/>
      <c r="D842" s="26"/>
      <c r="E842" s="26"/>
      <c r="F842" s="26"/>
      <c r="G842" s="26"/>
      <c r="H842" s="24"/>
      <c r="I842" s="27"/>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c r="BA842" s="24"/>
      <c r="BB842" s="24"/>
      <c r="BC842" s="24"/>
      <c r="BD842" s="24"/>
      <c r="BE842" s="24"/>
      <c r="BF842" s="24"/>
      <c r="BG842" s="24"/>
      <c r="BH842" s="24"/>
      <c r="BI842" s="24"/>
      <c r="BJ842" s="24"/>
      <c r="BK842" s="24"/>
      <c r="BL842" s="24"/>
      <c r="BM842" s="24"/>
      <c r="BN842" s="24"/>
      <c r="BO842" s="24"/>
      <c r="BP842" s="24"/>
      <c r="BQ842" s="24"/>
      <c r="BR842" s="24"/>
      <c r="BS842" s="24"/>
      <c r="BT842" s="24"/>
      <c r="BU842" s="24"/>
      <c r="BV842" s="24"/>
      <c r="BW842" s="24"/>
      <c r="BX842" s="24"/>
      <c r="BY842" s="24"/>
      <c r="BZ842" s="24"/>
      <c r="CA842" s="24"/>
      <c r="CB842" s="24"/>
      <c r="CC842" s="24"/>
      <c r="CD842" s="24"/>
    </row>
    <row r="843" spans="2:82" ht="16.5" customHeight="1" x14ac:dyDescent="0.3">
      <c r="B843" s="26"/>
      <c r="C843" s="26"/>
      <c r="D843" s="26"/>
      <c r="E843" s="26"/>
      <c r="F843" s="26"/>
      <c r="G843" s="26"/>
      <c r="H843" s="24"/>
      <c r="I843" s="27"/>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c r="BA843" s="24"/>
      <c r="BB843" s="24"/>
      <c r="BC843" s="24"/>
      <c r="BD843" s="24"/>
      <c r="BE843" s="24"/>
      <c r="BF843" s="24"/>
      <c r="BG843" s="24"/>
      <c r="BH843" s="24"/>
      <c r="BI843" s="24"/>
      <c r="BJ843" s="24"/>
      <c r="BK843" s="24"/>
      <c r="BL843" s="24"/>
      <c r="BM843" s="24"/>
      <c r="BN843" s="24"/>
      <c r="BO843" s="24"/>
      <c r="BP843" s="24"/>
      <c r="BQ843" s="24"/>
      <c r="BR843" s="24"/>
      <c r="BS843" s="24"/>
      <c r="BT843" s="24"/>
      <c r="BU843" s="24"/>
      <c r="BV843" s="24"/>
      <c r="BW843" s="24"/>
      <c r="BX843" s="24"/>
      <c r="BY843" s="24"/>
      <c r="BZ843" s="24"/>
      <c r="CA843" s="24"/>
      <c r="CB843" s="24"/>
      <c r="CC843" s="24"/>
      <c r="CD843" s="24"/>
    </row>
    <row r="844" spans="2:82" ht="16.5" customHeight="1" x14ac:dyDescent="0.3">
      <c r="B844" s="26"/>
      <c r="C844" s="26"/>
      <c r="D844" s="26"/>
      <c r="E844" s="26"/>
      <c r="F844" s="26"/>
      <c r="G844" s="26"/>
      <c r="H844" s="24"/>
      <c r="I844" s="27"/>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c r="BA844" s="24"/>
      <c r="BB844" s="24"/>
      <c r="BC844" s="24"/>
      <c r="BD844" s="24"/>
      <c r="BE844" s="24"/>
      <c r="BF844" s="24"/>
      <c r="BG844" s="24"/>
      <c r="BH844" s="24"/>
      <c r="BI844" s="24"/>
      <c r="BJ844" s="24"/>
      <c r="BK844" s="24"/>
      <c r="BL844" s="24"/>
      <c r="BM844" s="24"/>
      <c r="BN844" s="24"/>
      <c r="BO844" s="24"/>
      <c r="BP844" s="24"/>
      <c r="BQ844" s="24"/>
      <c r="BR844" s="24"/>
      <c r="BS844" s="24"/>
      <c r="BT844" s="24"/>
      <c r="BU844" s="24"/>
      <c r="BV844" s="24"/>
      <c r="BW844" s="24"/>
      <c r="BX844" s="24"/>
      <c r="BY844" s="24"/>
      <c r="BZ844" s="24"/>
      <c r="CA844" s="24"/>
      <c r="CB844" s="24"/>
      <c r="CC844" s="24"/>
      <c r="CD844" s="24"/>
    </row>
    <row r="845" spans="2:82" ht="16.5" customHeight="1" x14ac:dyDescent="0.3">
      <c r="B845" s="26"/>
      <c r="C845" s="26"/>
      <c r="D845" s="26"/>
      <c r="E845" s="26"/>
      <c r="F845" s="26"/>
      <c r="G845" s="26"/>
      <c r="H845" s="24"/>
      <c r="I845" s="27"/>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c r="BC845" s="24"/>
      <c r="BD845" s="24"/>
      <c r="BE845" s="24"/>
      <c r="BF845" s="24"/>
      <c r="BG845" s="24"/>
      <c r="BH845" s="24"/>
      <c r="BI845" s="24"/>
      <c r="BJ845" s="24"/>
      <c r="BK845" s="24"/>
      <c r="BL845" s="24"/>
      <c r="BM845" s="24"/>
      <c r="BN845" s="24"/>
      <c r="BO845" s="24"/>
      <c r="BP845" s="24"/>
      <c r="BQ845" s="24"/>
      <c r="BR845" s="24"/>
      <c r="BS845" s="24"/>
      <c r="BT845" s="24"/>
      <c r="BU845" s="24"/>
      <c r="BV845" s="24"/>
      <c r="BW845" s="24"/>
      <c r="BX845" s="24"/>
      <c r="BY845" s="24"/>
      <c r="BZ845" s="24"/>
      <c r="CA845" s="24"/>
      <c r="CB845" s="24"/>
      <c r="CC845" s="24"/>
      <c r="CD845" s="24"/>
    </row>
    <row r="846" spans="2:82" ht="16.5" customHeight="1" x14ac:dyDescent="0.3">
      <c r="B846" s="26"/>
      <c r="C846" s="26"/>
      <c r="D846" s="26"/>
      <c r="E846" s="26"/>
      <c r="F846" s="26"/>
      <c r="G846" s="26"/>
      <c r="H846" s="24"/>
      <c r="I846" s="27"/>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c r="BC846" s="24"/>
      <c r="BD846" s="24"/>
      <c r="BE846" s="24"/>
      <c r="BF846" s="24"/>
      <c r="BG846" s="24"/>
      <c r="BH846" s="24"/>
      <c r="BI846" s="24"/>
      <c r="BJ846" s="24"/>
      <c r="BK846" s="24"/>
      <c r="BL846" s="24"/>
      <c r="BM846" s="24"/>
      <c r="BN846" s="24"/>
      <c r="BO846" s="24"/>
      <c r="BP846" s="24"/>
      <c r="BQ846" s="24"/>
      <c r="BR846" s="24"/>
      <c r="BS846" s="24"/>
      <c r="BT846" s="24"/>
      <c r="BU846" s="24"/>
      <c r="BV846" s="24"/>
      <c r="BW846" s="24"/>
      <c r="BX846" s="24"/>
      <c r="BY846" s="24"/>
      <c r="BZ846" s="24"/>
      <c r="CA846" s="24"/>
      <c r="CB846" s="24"/>
      <c r="CC846" s="24"/>
      <c r="CD846" s="24"/>
    </row>
    <row r="847" spans="2:82" ht="16.5" customHeight="1" x14ac:dyDescent="0.3">
      <c r="B847" s="26"/>
      <c r="C847" s="26"/>
      <c r="D847" s="26"/>
      <c r="E847" s="26"/>
      <c r="F847" s="26"/>
      <c r="G847" s="26"/>
      <c r="H847" s="24"/>
      <c r="I847" s="27"/>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C847" s="24"/>
      <c r="BD847" s="24"/>
      <c r="BE847" s="24"/>
      <c r="BF847" s="24"/>
      <c r="BG847" s="24"/>
      <c r="BH847" s="24"/>
      <c r="BI847" s="24"/>
      <c r="BJ847" s="24"/>
      <c r="BK847" s="24"/>
      <c r="BL847" s="24"/>
      <c r="BM847" s="24"/>
      <c r="BN847" s="24"/>
      <c r="BO847" s="24"/>
      <c r="BP847" s="24"/>
      <c r="BQ847" s="24"/>
      <c r="BR847" s="24"/>
      <c r="BS847" s="24"/>
      <c r="BT847" s="24"/>
      <c r="BU847" s="24"/>
      <c r="BV847" s="24"/>
      <c r="BW847" s="24"/>
      <c r="BX847" s="24"/>
      <c r="BY847" s="24"/>
      <c r="BZ847" s="24"/>
      <c r="CA847" s="24"/>
      <c r="CB847" s="24"/>
      <c r="CC847" s="24"/>
      <c r="CD847" s="24"/>
    </row>
    <row r="848" spans="2:82" ht="16.5" customHeight="1" x14ac:dyDescent="0.3">
      <c r="B848" s="26"/>
      <c r="C848" s="26"/>
      <c r="D848" s="26"/>
      <c r="E848" s="26"/>
      <c r="F848" s="26"/>
      <c r="G848" s="26"/>
      <c r="H848" s="24"/>
      <c r="I848" s="27"/>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c r="BC848" s="24"/>
      <c r="BD848" s="24"/>
      <c r="BE848" s="24"/>
      <c r="BF848" s="24"/>
      <c r="BG848" s="24"/>
      <c r="BH848" s="24"/>
      <c r="BI848" s="24"/>
      <c r="BJ848" s="24"/>
      <c r="BK848" s="24"/>
      <c r="BL848" s="24"/>
      <c r="BM848" s="24"/>
      <c r="BN848" s="24"/>
      <c r="BO848" s="24"/>
      <c r="BP848" s="24"/>
      <c r="BQ848" s="24"/>
      <c r="BR848" s="24"/>
      <c r="BS848" s="24"/>
      <c r="BT848" s="24"/>
      <c r="BU848" s="24"/>
      <c r="BV848" s="24"/>
      <c r="BW848" s="24"/>
      <c r="BX848" s="24"/>
      <c r="BY848" s="24"/>
      <c r="BZ848" s="24"/>
      <c r="CA848" s="24"/>
      <c r="CB848" s="24"/>
      <c r="CC848" s="24"/>
      <c r="CD848" s="24"/>
    </row>
    <row r="849" spans="2:82" ht="16.5" customHeight="1" x14ac:dyDescent="0.3">
      <c r="B849" s="26"/>
      <c r="C849" s="26"/>
      <c r="D849" s="26"/>
      <c r="E849" s="26"/>
      <c r="F849" s="26"/>
      <c r="G849" s="26"/>
      <c r="H849" s="24"/>
      <c r="I849" s="27"/>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c r="BC849" s="24"/>
      <c r="BD849" s="24"/>
      <c r="BE849" s="24"/>
      <c r="BF849" s="24"/>
      <c r="BG849" s="24"/>
      <c r="BH849" s="24"/>
      <c r="BI849" s="24"/>
      <c r="BJ849" s="24"/>
      <c r="BK849" s="24"/>
      <c r="BL849" s="24"/>
      <c r="BM849" s="24"/>
      <c r="BN849" s="24"/>
      <c r="BO849" s="24"/>
      <c r="BP849" s="24"/>
      <c r="BQ849" s="24"/>
      <c r="BR849" s="24"/>
      <c r="BS849" s="24"/>
      <c r="BT849" s="24"/>
      <c r="BU849" s="24"/>
      <c r="BV849" s="24"/>
      <c r="BW849" s="24"/>
      <c r="BX849" s="24"/>
      <c r="BY849" s="24"/>
      <c r="BZ849" s="24"/>
      <c r="CA849" s="24"/>
      <c r="CB849" s="24"/>
      <c r="CC849" s="24"/>
      <c r="CD849" s="24"/>
    </row>
    <row r="850" spans="2:82" ht="16.5" customHeight="1" x14ac:dyDescent="0.3">
      <c r="B850" s="26"/>
      <c r="C850" s="26"/>
      <c r="D850" s="26"/>
      <c r="E850" s="26"/>
      <c r="F850" s="26"/>
      <c r="G850" s="26"/>
      <c r="H850" s="24"/>
      <c r="I850" s="27"/>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c r="BA850" s="24"/>
      <c r="BB850" s="24"/>
      <c r="BC850" s="24"/>
      <c r="BD850" s="24"/>
      <c r="BE850" s="24"/>
      <c r="BF850" s="24"/>
      <c r="BG850" s="24"/>
      <c r="BH850" s="24"/>
      <c r="BI850" s="24"/>
      <c r="BJ850" s="24"/>
      <c r="BK850" s="24"/>
      <c r="BL850" s="24"/>
      <c r="BM850" s="24"/>
      <c r="BN850" s="24"/>
      <c r="BO850" s="24"/>
      <c r="BP850" s="24"/>
      <c r="BQ850" s="24"/>
      <c r="BR850" s="24"/>
      <c r="BS850" s="24"/>
      <c r="BT850" s="24"/>
      <c r="BU850" s="24"/>
      <c r="BV850" s="24"/>
      <c r="BW850" s="24"/>
      <c r="BX850" s="24"/>
      <c r="BY850" s="24"/>
      <c r="BZ850" s="24"/>
      <c r="CA850" s="24"/>
      <c r="CB850" s="24"/>
      <c r="CC850" s="24"/>
      <c r="CD850" s="24"/>
    </row>
    <row r="851" spans="2:82" ht="16.5" customHeight="1" x14ac:dyDescent="0.3">
      <c r="B851" s="26"/>
      <c r="C851" s="26"/>
      <c r="D851" s="26"/>
      <c r="E851" s="26"/>
      <c r="F851" s="26"/>
      <c r="G851" s="26"/>
      <c r="H851" s="24"/>
      <c r="I851" s="27"/>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c r="BF851" s="24"/>
      <c r="BG851" s="24"/>
      <c r="BH851" s="24"/>
      <c r="BI851" s="24"/>
      <c r="BJ851" s="24"/>
      <c r="BK851" s="24"/>
      <c r="BL851" s="24"/>
      <c r="BM851" s="24"/>
      <c r="BN851" s="24"/>
      <c r="BO851" s="24"/>
      <c r="BP851" s="24"/>
      <c r="BQ851" s="24"/>
      <c r="BR851" s="24"/>
      <c r="BS851" s="24"/>
      <c r="BT851" s="24"/>
      <c r="BU851" s="24"/>
      <c r="BV851" s="24"/>
      <c r="BW851" s="24"/>
      <c r="BX851" s="24"/>
      <c r="BY851" s="24"/>
      <c r="BZ851" s="24"/>
      <c r="CA851" s="24"/>
      <c r="CB851" s="24"/>
      <c r="CC851" s="24"/>
      <c r="CD851" s="24"/>
    </row>
    <row r="852" spans="2:82" ht="16.5" customHeight="1" x14ac:dyDescent="0.3">
      <c r="B852" s="26"/>
      <c r="C852" s="26"/>
      <c r="D852" s="26"/>
      <c r="E852" s="26"/>
      <c r="F852" s="26"/>
      <c r="G852" s="26"/>
      <c r="H852" s="24"/>
      <c r="I852" s="27"/>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c r="BA852" s="24"/>
      <c r="BB852" s="24"/>
      <c r="BC852" s="24"/>
      <c r="BD852" s="24"/>
      <c r="BE852" s="24"/>
      <c r="BF852" s="24"/>
      <c r="BG852" s="24"/>
      <c r="BH852" s="24"/>
      <c r="BI852" s="24"/>
      <c r="BJ852" s="24"/>
      <c r="BK852" s="24"/>
      <c r="BL852" s="24"/>
      <c r="BM852" s="24"/>
      <c r="BN852" s="24"/>
      <c r="BO852" s="24"/>
      <c r="BP852" s="24"/>
      <c r="BQ852" s="24"/>
      <c r="BR852" s="24"/>
      <c r="BS852" s="24"/>
      <c r="BT852" s="24"/>
      <c r="BU852" s="24"/>
      <c r="BV852" s="24"/>
      <c r="BW852" s="24"/>
      <c r="BX852" s="24"/>
      <c r="BY852" s="24"/>
      <c r="BZ852" s="24"/>
      <c r="CA852" s="24"/>
      <c r="CB852" s="24"/>
      <c r="CC852" s="24"/>
      <c r="CD852" s="24"/>
    </row>
    <row r="853" spans="2:82" ht="16.5" customHeight="1" x14ac:dyDescent="0.3">
      <c r="B853" s="26"/>
      <c r="C853" s="26"/>
      <c r="D853" s="26"/>
      <c r="E853" s="26"/>
      <c r="F853" s="26"/>
      <c r="G853" s="26"/>
      <c r="H853" s="24"/>
      <c r="I853" s="27"/>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c r="BF853" s="24"/>
      <c r="BG853" s="24"/>
      <c r="BH853" s="24"/>
      <c r="BI853" s="24"/>
      <c r="BJ853" s="24"/>
      <c r="BK853" s="24"/>
      <c r="BL853" s="24"/>
      <c r="BM853" s="24"/>
      <c r="BN853" s="24"/>
      <c r="BO853" s="24"/>
      <c r="BP853" s="24"/>
      <c r="BQ853" s="24"/>
      <c r="BR853" s="24"/>
      <c r="BS853" s="24"/>
      <c r="BT853" s="24"/>
      <c r="BU853" s="24"/>
      <c r="BV853" s="24"/>
      <c r="BW853" s="24"/>
      <c r="BX853" s="24"/>
      <c r="BY853" s="24"/>
      <c r="BZ853" s="24"/>
      <c r="CA853" s="24"/>
      <c r="CB853" s="24"/>
      <c r="CC853" s="24"/>
      <c r="CD853" s="24"/>
    </row>
    <row r="854" spans="2:82" ht="16.5" customHeight="1" x14ac:dyDescent="0.3">
      <c r="B854" s="26"/>
      <c r="C854" s="26"/>
      <c r="D854" s="26"/>
      <c r="E854" s="26"/>
      <c r="F854" s="26"/>
      <c r="G854" s="26"/>
      <c r="H854" s="24"/>
      <c r="I854" s="27"/>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c r="BA854" s="24"/>
      <c r="BB854" s="24"/>
      <c r="BC854" s="24"/>
      <c r="BD854" s="24"/>
      <c r="BE854" s="24"/>
      <c r="BF854" s="24"/>
      <c r="BG854" s="24"/>
      <c r="BH854" s="24"/>
      <c r="BI854" s="24"/>
      <c r="BJ854" s="24"/>
      <c r="BK854" s="24"/>
      <c r="BL854" s="24"/>
      <c r="BM854" s="24"/>
      <c r="BN854" s="24"/>
      <c r="BO854" s="24"/>
      <c r="BP854" s="24"/>
      <c r="BQ854" s="24"/>
      <c r="BR854" s="24"/>
      <c r="BS854" s="24"/>
      <c r="BT854" s="24"/>
      <c r="BU854" s="24"/>
      <c r="BV854" s="24"/>
      <c r="BW854" s="24"/>
      <c r="BX854" s="24"/>
      <c r="BY854" s="24"/>
      <c r="BZ854" s="24"/>
      <c r="CA854" s="24"/>
      <c r="CB854" s="24"/>
      <c r="CC854" s="24"/>
      <c r="CD854" s="24"/>
    </row>
    <row r="855" spans="2:82" ht="16.5" customHeight="1" x14ac:dyDescent="0.3">
      <c r="B855" s="26"/>
      <c r="C855" s="26"/>
      <c r="D855" s="26"/>
      <c r="E855" s="26"/>
      <c r="F855" s="26"/>
      <c r="G855" s="26"/>
      <c r="H855" s="24"/>
      <c r="I855" s="27"/>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c r="BA855" s="24"/>
      <c r="BB855" s="24"/>
      <c r="BC855" s="24"/>
      <c r="BD855" s="24"/>
      <c r="BE855" s="24"/>
      <c r="BF855" s="24"/>
      <c r="BG855" s="24"/>
      <c r="BH855" s="24"/>
      <c r="BI855" s="24"/>
      <c r="BJ855" s="24"/>
      <c r="BK855" s="24"/>
      <c r="BL855" s="24"/>
      <c r="BM855" s="24"/>
      <c r="BN855" s="24"/>
      <c r="BO855" s="24"/>
      <c r="BP855" s="24"/>
      <c r="BQ855" s="24"/>
      <c r="BR855" s="24"/>
      <c r="BS855" s="24"/>
      <c r="BT855" s="24"/>
      <c r="BU855" s="24"/>
      <c r="BV855" s="24"/>
      <c r="BW855" s="24"/>
      <c r="BX855" s="24"/>
      <c r="BY855" s="24"/>
      <c r="BZ855" s="24"/>
      <c r="CA855" s="24"/>
      <c r="CB855" s="24"/>
      <c r="CC855" s="24"/>
      <c r="CD855" s="24"/>
    </row>
    <row r="856" spans="2:82" ht="16.5" customHeight="1" x14ac:dyDescent="0.3">
      <c r="B856" s="26"/>
      <c r="C856" s="26"/>
      <c r="D856" s="26"/>
      <c r="E856" s="26"/>
      <c r="F856" s="26"/>
      <c r="G856" s="26"/>
      <c r="H856" s="24"/>
      <c r="I856" s="27"/>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c r="BA856" s="24"/>
      <c r="BB856" s="24"/>
      <c r="BC856" s="24"/>
      <c r="BD856" s="24"/>
      <c r="BE856" s="24"/>
      <c r="BF856" s="24"/>
      <c r="BG856" s="24"/>
      <c r="BH856" s="24"/>
      <c r="BI856" s="24"/>
      <c r="BJ856" s="24"/>
      <c r="BK856" s="24"/>
      <c r="BL856" s="24"/>
      <c r="BM856" s="24"/>
      <c r="BN856" s="24"/>
      <c r="BO856" s="24"/>
      <c r="BP856" s="24"/>
      <c r="BQ856" s="24"/>
      <c r="BR856" s="24"/>
      <c r="BS856" s="24"/>
      <c r="BT856" s="24"/>
      <c r="BU856" s="24"/>
      <c r="BV856" s="24"/>
      <c r="BW856" s="24"/>
      <c r="BX856" s="24"/>
      <c r="BY856" s="24"/>
      <c r="BZ856" s="24"/>
      <c r="CA856" s="24"/>
      <c r="CB856" s="24"/>
      <c r="CC856" s="24"/>
      <c r="CD856" s="24"/>
    </row>
    <row r="857" spans="2:82" ht="16.5" customHeight="1" x14ac:dyDescent="0.3">
      <c r="B857" s="26"/>
      <c r="C857" s="26"/>
      <c r="D857" s="26"/>
      <c r="E857" s="26"/>
      <c r="F857" s="26"/>
      <c r="G857" s="26"/>
      <c r="H857" s="24"/>
      <c r="I857" s="27"/>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c r="BF857" s="24"/>
      <c r="BG857" s="24"/>
      <c r="BH857" s="24"/>
      <c r="BI857" s="24"/>
      <c r="BJ857" s="24"/>
      <c r="BK857" s="24"/>
      <c r="BL857" s="24"/>
      <c r="BM857" s="24"/>
      <c r="BN857" s="24"/>
      <c r="BO857" s="24"/>
      <c r="BP857" s="24"/>
      <c r="BQ857" s="24"/>
      <c r="BR857" s="24"/>
      <c r="BS857" s="24"/>
      <c r="BT857" s="24"/>
      <c r="BU857" s="24"/>
      <c r="BV857" s="24"/>
      <c r="BW857" s="24"/>
      <c r="BX857" s="24"/>
      <c r="BY857" s="24"/>
      <c r="BZ857" s="24"/>
      <c r="CA857" s="24"/>
      <c r="CB857" s="24"/>
      <c r="CC857" s="24"/>
      <c r="CD857" s="24"/>
    </row>
    <row r="858" spans="2:82" ht="16.5" customHeight="1" x14ac:dyDescent="0.3">
      <c r="B858" s="26"/>
      <c r="C858" s="26"/>
      <c r="D858" s="26"/>
      <c r="E858" s="26"/>
      <c r="F858" s="26"/>
      <c r="G858" s="26"/>
      <c r="H858" s="24"/>
      <c r="I858" s="27"/>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c r="BA858" s="24"/>
      <c r="BB858" s="24"/>
      <c r="BC858" s="24"/>
      <c r="BD858" s="24"/>
      <c r="BE858" s="24"/>
      <c r="BF858" s="24"/>
      <c r="BG858" s="24"/>
      <c r="BH858" s="24"/>
      <c r="BI858" s="24"/>
      <c r="BJ858" s="24"/>
      <c r="BK858" s="24"/>
      <c r="BL858" s="24"/>
      <c r="BM858" s="24"/>
      <c r="BN858" s="24"/>
      <c r="BO858" s="24"/>
      <c r="BP858" s="24"/>
      <c r="BQ858" s="24"/>
      <c r="BR858" s="24"/>
      <c r="BS858" s="24"/>
      <c r="BT858" s="24"/>
      <c r="BU858" s="24"/>
      <c r="BV858" s="24"/>
      <c r="BW858" s="24"/>
      <c r="BX858" s="24"/>
      <c r="BY858" s="24"/>
      <c r="BZ858" s="24"/>
      <c r="CA858" s="24"/>
      <c r="CB858" s="24"/>
      <c r="CC858" s="24"/>
      <c r="CD858" s="24"/>
    </row>
    <row r="859" spans="2:82" ht="16.5" customHeight="1" x14ac:dyDescent="0.3">
      <c r="B859" s="26"/>
      <c r="C859" s="26"/>
      <c r="D859" s="26"/>
      <c r="E859" s="26"/>
      <c r="F859" s="26"/>
      <c r="G859" s="26"/>
      <c r="H859" s="24"/>
      <c r="I859" s="27"/>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c r="BA859" s="24"/>
      <c r="BB859" s="24"/>
      <c r="BC859" s="24"/>
      <c r="BD859" s="24"/>
      <c r="BE859" s="24"/>
      <c r="BF859" s="24"/>
      <c r="BG859" s="24"/>
      <c r="BH859" s="24"/>
      <c r="BI859" s="24"/>
      <c r="BJ859" s="24"/>
      <c r="BK859" s="24"/>
      <c r="BL859" s="24"/>
      <c r="BM859" s="24"/>
      <c r="BN859" s="24"/>
      <c r="BO859" s="24"/>
      <c r="BP859" s="24"/>
      <c r="BQ859" s="24"/>
      <c r="BR859" s="24"/>
      <c r="BS859" s="24"/>
      <c r="BT859" s="24"/>
      <c r="BU859" s="24"/>
      <c r="BV859" s="24"/>
      <c r="BW859" s="24"/>
      <c r="BX859" s="24"/>
      <c r="BY859" s="24"/>
      <c r="BZ859" s="24"/>
      <c r="CA859" s="24"/>
      <c r="CB859" s="24"/>
      <c r="CC859" s="24"/>
      <c r="CD859" s="24"/>
    </row>
    <row r="860" spans="2:82" ht="16.5" customHeight="1" x14ac:dyDescent="0.3">
      <c r="B860" s="26"/>
      <c r="C860" s="26"/>
      <c r="D860" s="26"/>
      <c r="E860" s="26"/>
      <c r="F860" s="26"/>
      <c r="G860" s="26"/>
      <c r="H860" s="24"/>
      <c r="I860" s="27"/>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c r="BA860" s="24"/>
      <c r="BB860" s="24"/>
      <c r="BC860" s="24"/>
      <c r="BD860" s="24"/>
      <c r="BE860" s="24"/>
      <c r="BF860" s="24"/>
      <c r="BG860" s="24"/>
      <c r="BH860" s="24"/>
      <c r="BI860" s="24"/>
      <c r="BJ860" s="24"/>
      <c r="BK860" s="24"/>
      <c r="BL860" s="24"/>
      <c r="BM860" s="24"/>
      <c r="BN860" s="24"/>
      <c r="BO860" s="24"/>
      <c r="BP860" s="24"/>
      <c r="BQ860" s="24"/>
      <c r="BR860" s="24"/>
      <c r="BS860" s="24"/>
      <c r="BT860" s="24"/>
      <c r="BU860" s="24"/>
      <c r="BV860" s="24"/>
      <c r="BW860" s="24"/>
      <c r="BX860" s="24"/>
      <c r="BY860" s="24"/>
      <c r="BZ860" s="24"/>
      <c r="CA860" s="24"/>
      <c r="CB860" s="24"/>
      <c r="CC860" s="24"/>
      <c r="CD860" s="24"/>
    </row>
    <row r="861" spans="2:82" ht="16.5" customHeight="1" x14ac:dyDescent="0.3">
      <c r="B861" s="26"/>
      <c r="C861" s="26"/>
      <c r="D861" s="26"/>
      <c r="E861" s="26"/>
      <c r="F861" s="26"/>
      <c r="G861" s="26"/>
      <c r="H861" s="24"/>
      <c r="I861" s="27"/>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c r="BA861" s="24"/>
      <c r="BB861" s="24"/>
      <c r="BC861" s="24"/>
      <c r="BD861" s="24"/>
      <c r="BE861" s="24"/>
      <c r="BF861" s="24"/>
      <c r="BG861" s="24"/>
      <c r="BH861" s="24"/>
      <c r="BI861" s="24"/>
      <c r="BJ861" s="24"/>
      <c r="BK861" s="24"/>
      <c r="BL861" s="24"/>
      <c r="BM861" s="24"/>
      <c r="BN861" s="24"/>
      <c r="BO861" s="24"/>
      <c r="BP861" s="24"/>
      <c r="BQ861" s="24"/>
      <c r="BR861" s="24"/>
      <c r="BS861" s="24"/>
      <c r="BT861" s="24"/>
      <c r="BU861" s="24"/>
      <c r="BV861" s="24"/>
      <c r="BW861" s="24"/>
      <c r="BX861" s="24"/>
      <c r="BY861" s="24"/>
      <c r="BZ861" s="24"/>
      <c r="CA861" s="24"/>
      <c r="CB861" s="24"/>
      <c r="CC861" s="24"/>
      <c r="CD861" s="24"/>
    </row>
    <row r="862" spans="2:82" ht="16.5" customHeight="1" x14ac:dyDescent="0.3">
      <c r="B862" s="26"/>
      <c r="C862" s="26"/>
      <c r="D862" s="26"/>
      <c r="E862" s="26"/>
      <c r="F862" s="26"/>
      <c r="G862" s="26"/>
      <c r="H862" s="24"/>
      <c r="I862" s="27"/>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c r="BA862" s="24"/>
      <c r="BB862" s="24"/>
      <c r="BC862" s="24"/>
      <c r="BD862" s="24"/>
      <c r="BE862" s="24"/>
      <c r="BF862" s="24"/>
      <c r="BG862" s="24"/>
      <c r="BH862" s="24"/>
      <c r="BI862" s="24"/>
      <c r="BJ862" s="24"/>
      <c r="BK862" s="24"/>
      <c r="BL862" s="24"/>
      <c r="BM862" s="24"/>
      <c r="BN862" s="24"/>
      <c r="BO862" s="24"/>
      <c r="BP862" s="24"/>
      <c r="BQ862" s="24"/>
      <c r="BR862" s="24"/>
      <c r="BS862" s="24"/>
      <c r="BT862" s="24"/>
      <c r="BU862" s="24"/>
      <c r="BV862" s="24"/>
      <c r="BW862" s="24"/>
      <c r="BX862" s="24"/>
      <c r="BY862" s="24"/>
      <c r="BZ862" s="24"/>
      <c r="CA862" s="24"/>
      <c r="CB862" s="24"/>
      <c r="CC862" s="24"/>
      <c r="CD862" s="24"/>
    </row>
    <row r="863" spans="2:82" ht="16.5" customHeight="1" x14ac:dyDescent="0.3">
      <c r="B863" s="26"/>
      <c r="C863" s="26"/>
      <c r="D863" s="26"/>
      <c r="E863" s="26"/>
      <c r="F863" s="26"/>
      <c r="G863" s="26"/>
      <c r="H863" s="24"/>
      <c r="I863" s="27"/>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c r="BA863" s="24"/>
      <c r="BB863" s="24"/>
      <c r="BC863" s="24"/>
      <c r="BD863" s="24"/>
      <c r="BE863" s="24"/>
      <c r="BF863" s="24"/>
      <c r="BG863" s="24"/>
      <c r="BH863" s="24"/>
      <c r="BI863" s="24"/>
      <c r="BJ863" s="24"/>
      <c r="BK863" s="24"/>
      <c r="BL863" s="24"/>
      <c r="BM863" s="24"/>
      <c r="BN863" s="24"/>
      <c r="BO863" s="24"/>
      <c r="BP863" s="24"/>
      <c r="BQ863" s="24"/>
      <c r="BR863" s="24"/>
      <c r="BS863" s="24"/>
      <c r="BT863" s="24"/>
      <c r="BU863" s="24"/>
      <c r="BV863" s="24"/>
      <c r="BW863" s="24"/>
      <c r="BX863" s="24"/>
      <c r="BY863" s="24"/>
      <c r="BZ863" s="24"/>
      <c r="CA863" s="24"/>
      <c r="CB863" s="24"/>
      <c r="CC863" s="24"/>
      <c r="CD863" s="24"/>
    </row>
    <row r="864" spans="2:82" ht="16.5" customHeight="1" x14ac:dyDescent="0.3">
      <c r="B864" s="26"/>
      <c r="C864" s="26"/>
      <c r="D864" s="26"/>
      <c r="E864" s="26"/>
      <c r="F864" s="26"/>
      <c r="G864" s="26"/>
      <c r="H864" s="24"/>
      <c r="I864" s="27"/>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c r="BC864" s="24"/>
      <c r="BD864" s="24"/>
      <c r="BE864" s="24"/>
      <c r="BF864" s="24"/>
      <c r="BG864" s="24"/>
      <c r="BH864" s="24"/>
      <c r="BI864" s="24"/>
      <c r="BJ864" s="24"/>
      <c r="BK864" s="24"/>
      <c r="BL864" s="24"/>
      <c r="BM864" s="24"/>
      <c r="BN864" s="24"/>
      <c r="BO864" s="24"/>
      <c r="BP864" s="24"/>
      <c r="BQ864" s="24"/>
      <c r="BR864" s="24"/>
      <c r="BS864" s="24"/>
      <c r="BT864" s="24"/>
      <c r="BU864" s="24"/>
      <c r="BV864" s="24"/>
      <c r="BW864" s="24"/>
      <c r="BX864" s="24"/>
      <c r="BY864" s="24"/>
      <c r="BZ864" s="24"/>
      <c r="CA864" s="24"/>
      <c r="CB864" s="24"/>
      <c r="CC864" s="24"/>
      <c r="CD864" s="24"/>
    </row>
    <row r="865" spans="2:82" ht="16.5" customHeight="1" x14ac:dyDescent="0.3">
      <c r="B865" s="26"/>
      <c r="C865" s="26"/>
      <c r="D865" s="26"/>
      <c r="E865" s="26"/>
      <c r="F865" s="26"/>
      <c r="G865" s="26"/>
      <c r="H865" s="24"/>
      <c r="I865" s="27"/>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c r="BC865" s="24"/>
      <c r="BD865" s="24"/>
      <c r="BE865" s="24"/>
      <c r="BF865" s="24"/>
      <c r="BG865" s="24"/>
      <c r="BH865" s="24"/>
      <c r="BI865" s="24"/>
      <c r="BJ865" s="24"/>
      <c r="BK865" s="24"/>
      <c r="BL865" s="24"/>
      <c r="BM865" s="24"/>
      <c r="BN865" s="24"/>
      <c r="BO865" s="24"/>
      <c r="BP865" s="24"/>
      <c r="BQ865" s="24"/>
      <c r="BR865" s="24"/>
      <c r="BS865" s="24"/>
      <c r="BT865" s="24"/>
      <c r="BU865" s="24"/>
      <c r="BV865" s="24"/>
      <c r="BW865" s="24"/>
      <c r="BX865" s="24"/>
      <c r="BY865" s="24"/>
      <c r="BZ865" s="24"/>
      <c r="CA865" s="24"/>
      <c r="CB865" s="24"/>
      <c r="CC865" s="24"/>
      <c r="CD865" s="24"/>
    </row>
    <row r="866" spans="2:82" ht="16.5" customHeight="1" x14ac:dyDescent="0.3">
      <c r="B866" s="26"/>
      <c r="C866" s="26"/>
      <c r="D866" s="26"/>
      <c r="E866" s="26"/>
      <c r="F866" s="26"/>
      <c r="G866" s="26"/>
      <c r="H866" s="24"/>
      <c r="I866" s="27"/>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C866" s="24"/>
      <c r="BD866" s="24"/>
      <c r="BE866" s="24"/>
      <c r="BF866" s="24"/>
      <c r="BG866" s="24"/>
      <c r="BH866" s="24"/>
      <c r="BI866" s="24"/>
      <c r="BJ866" s="24"/>
      <c r="BK866" s="24"/>
      <c r="BL866" s="24"/>
      <c r="BM866" s="24"/>
      <c r="BN866" s="24"/>
      <c r="BO866" s="24"/>
      <c r="BP866" s="24"/>
      <c r="BQ866" s="24"/>
      <c r="BR866" s="24"/>
      <c r="BS866" s="24"/>
      <c r="BT866" s="24"/>
      <c r="BU866" s="24"/>
      <c r="BV866" s="24"/>
      <c r="BW866" s="24"/>
      <c r="BX866" s="24"/>
      <c r="BY866" s="24"/>
      <c r="BZ866" s="24"/>
      <c r="CA866" s="24"/>
      <c r="CB866" s="24"/>
      <c r="CC866" s="24"/>
      <c r="CD866" s="24"/>
    </row>
    <row r="867" spans="2:82" ht="16.5" customHeight="1" x14ac:dyDescent="0.3">
      <c r="B867" s="26"/>
      <c r="C867" s="26"/>
      <c r="D867" s="26"/>
      <c r="E867" s="26"/>
      <c r="F867" s="26"/>
      <c r="G867" s="26"/>
      <c r="H867" s="24"/>
      <c r="I867" s="27"/>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c r="BC867" s="24"/>
      <c r="BD867" s="24"/>
      <c r="BE867" s="24"/>
      <c r="BF867" s="24"/>
      <c r="BG867" s="24"/>
      <c r="BH867" s="24"/>
      <c r="BI867" s="24"/>
      <c r="BJ867" s="24"/>
      <c r="BK867" s="24"/>
      <c r="BL867" s="24"/>
      <c r="BM867" s="24"/>
      <c r="BN867" s="24"/>
      <c r="BO867" s="24"/>
      <c r="BP867" s="24"/>
      <c r="BQ867" s="24"/>
      <c r="BR867" s="24"/>
      <c r="BS867" s="24"/>
      <c r="BT867" s="24"/>
      <c r="BU867" s="24"/>
      <c r="BV867" s="24"/>
      <c r="BW867" s="24"/>
      <c r="BX867" s="24"/>
      <c r="BY867" s="24"/>
      <c r="BZ867" s="24"/>
      <c r="CA867" s="24"/>
      <c r="CB867" s="24"/>
      <c r="CC867" s="24"/>
      <c r="CD867" s="24"/>
    </row>
    <row r="868" spans="2:82" ht="16.5" customHeight="1" x14ac:dyDescent="0.3">
      <c r="B868" s="26"/>
      <c r="C868" s="26"/>
      <c r="D868" s="26"/>
      <c r="E868" s="26"/>
      <c r="F868" s="26"/>
      <c r="G868" s="26"/>
      <c r="H868" s="24"/>
      <c r="I868" s="27"/>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c r="BC868" s="24"/>
      <c r="BD868" s="24"/>
      <c r="BE868" s="24"/>
      <c r="BF868" s="24"/>
      <c r="BG868" s="24"/>
      <c r="BH868" s="24"/>
      <c r="BI868" s="24"/>
      <c r="BJ868" s="24"/>
      <c r="BK868" s="24"/>
      <c r="BL868" s="24"/>
      <c r="BM868" s="24"/>
      <c r="BN868" s="24"/>
      <c r="BO868" s="24"/>
      <c r="BP868" s="24"/>
      <c r="BQ868" s="24"/>
      <c r="BR868" s="24"/>
      <c r="BS868" s="24"/>
      <c r="BT868" s="24"/>
      <c r="BU868" s="24"/>
      <c r="BV868" s="24"/>
      <c r="BW868" s="24"/>
      <c r="BX868" s="24"/>
      <c r="BY868" s="24"/>
      <c r="BZ868" s="24"/>
      <c r="CA868" s="24"/>
      <c r="CB868" s="24"/>
      <c r="CC868" s="24"/>
      <c r="CD868" s="24"/>
    </row>
    <row r="869" spans="2:82" ht="16.5" customHeight="1" x14ac:dyDescent="0.3">
      <c r="B869" s="26"/>
      <c r="C869" s="26"/>
      <c r="D869" s="26"/>
      <c r="E869" s="26"/>
      <c r="F869" s="26"/>
      <c r="G869" s="26"/>
      <c r="H869" s="24"/>
      <c r="I869" s="27"/>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c r="BA869" s="24"/>
      <c r="BB869" s="24"/>
      <c r="BC869" s="24"/>
      <c r="BD869" s="24"/>
      <c r="BE869" s="24"/>
      <c r="BF869" s="24"/>
      <c r="BG869" s="24"/>
      <c r="BH869" s="24"/>
      <c r="BI869" s="24"/>
      <c r="BJ869" s="24"/>
      <c r="BK869" s="24"/>
      <c r="BL869" s="24"/>
      <c r="BM869" s="24"/>
      <c r="BN869" s="24"/>
      <c r="BO869" s="24"/>
      <c r="BP869" s="24"/>
      <c r="BQ869" s="24"/>
      <c r="BR869" s="24"/>
      <c r="BS869" s="24"/>
      <c r="BT869" s="24"/>
      <c r="BU869" s="24"/>
      <c r="BV869" s="24"/>
      <c r="BW869" s="24"/>
      <c r="BX869" s="24"/>
      <c r="BY869" s="24"/>
      <c r="BZ869" s="24"/>
      <c r="CA869" s="24"/>
      <c r="CB869" s="24"/>
      <c r="CC869" s="24"/>
      <c r="CD869" s="24"/>
    </row>
    <row r="870" spans="2:82" ht="16.5" customHeight="1" x14ac:dyDescent="0.3">
      <c r="B870" s="26"/>
      <c r="C870" s="26"/>
      <c r="D870" s="26"/>
      <c r="E870" s="26"/>
      <c r="F870" s="26"/>
      <c r="G870" s="26"/>
      <c r="H870" s="24"/>
      <c r="I870" s="27"/>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c r="BA870" s="24"/>
      <c r="BB870" s="24"/>
      <c r="BC870" s="24"/>
      <c r="BD870" s="24"/>
      <c r="BE870" s="24"/>
      <c r="BF870" s="24"/>
      <c r="BG870" s="24"/>
      <c r="BH870" s="24"/>
      <c r="BI870" s="24"/>
      <c r="BJ870" s="24"/>
      <c r="BK870" s="24"/>
      <c r="BL870" s="24"/>
      <c r="BM870" s="24"/>
      <c r="BN870" s="24"/>
      <c r="BO870" s="24"/>
      <c r="BP870" s="24"/>
      <c r="BQ870" s="24"/>
      <c r="BR870" s="24"/>
      <c r="BS870" s="24"/>
      <c r="BT870" s="24"/>
      <c r="BU870" s="24"/>
      <c r="BV870" s="24"/>
      <c r="BW870" s="24"/>
      <c r="BX870" s="24"/>
      <c r="BY870" s="24"/>
      <c r="BZ870" s="24"/>
      <c r="CA870" s="24"/>
      <c r="CB870" s="24"/>
      <c r="CC870" s="24"/>
      <c r="CD870" s="24"/>
    </row>
    <row r="871" spans="2:82" ht="16.5" customHeight="1" x14ac:dyDescent="0.3">
      <c r="B871" s="26"/>
      <c r="C871" s="26"/>
      <c r="D871" s="26"/>
      <c r="E871" s="26"/>
      <c r="F871" s="26"/>
      <c r="G871" s="26"/>
      <c r="H871" s="24"/>
      <c r="I871" s="27"/>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c r="BA871" s="24"/>
      <c r="BB871" s="24"/>
      <c r="BC871" s="24"/>
      <c r="BD871" s="24"/>
      <c r="BE871" s="24"/>
      <c r="BF871" s="24"/>
      <c r="BG871" s="24"/>
      <c r="BH871" s="24"/>
      <c r="BI871" s="24"/>
      <c r="BJ871" s="24"/>
      <c r="BK871" s="24"/>
      <c r="BL871" s="24"/>
      <c r="BM871" s="24"/>
      <c r="BN871" s="24"/>
      <c r="BO871" s="24"/>
      <c r="BP871" s="24"/>
      <c r="BQ871" s="24"/>
      <c r="BR871" s="24"/>
      <c r="BS871" s="24"/>
      <c r="BT871" s="24"/>
      <c r="BU871" s="24"/>
      <c r="BV871" s="24"/>
      <c r="BW871" s="24"/>
      <c r="BX871" s="24"/>
      <c r="BY871" s="24"/>
      <c r="BZ871" s="24"/>
      <c r="CA871" s="24"/>
      <c r="CB871" s="24"/>
      <c r="CC871" s="24"/>
      <c r="CD871" s="24"/>
    </row>
    <row r="872" spans="2:82" ht="16.5" customHeight="1" x14ac:dyDescent="0.3">
      <c r="B872" s="26"/>
      <c r="C872" s="26"/>
      <c r="D872" s="26"/>
      <c r="E872" s="26"/>
      <c r="F872" s="26"/>
      <c r="G872" s="26"/>
      <c r="H872" s="24"/>
      <c r="I872" s="27"/>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c r="BA872" s="24"/>
      <c r="BB872" s="24"/>
      <c r="BC872" s="24"/>
      <c r="BD872" s="24"/>
      <c r="BE872" s="24"/>
      <c r="BF872" s="24"/>
      <c r="BG872" s="24"/>
      <c r="BH872" s="24"/>
      <c r="BI872" s="24"/>
      <c r="BJ872" s="24"/>
      <c r="BK872" s="24"/>
      <c r="BL872" s="24"/>
      <c r="BM872" s="24"/>
      <c r="BN872" s="24"/>
      <c r="BO872" s="24"/>
      <c r="BP872" s="24"/>
      <c r="BQ872" s="24"/>
      <c r="BR872" s="24"/>
      <c r="BS872" s="24"/>
      <c r="BT872" s="24"/>
      <c r="BU872" s="24"/>
      <c r="BV872" s="24"/>
      <c r="BW872" s="24"/>
      <c r="BX872" s="24"/>
      <c r="BY872" s="24"/>
      <c r="BZ872" s="24"/>
      <c r="CA872" s="24"/>
      <c r="CB872" s="24"/>
      <c r="CC872" s="24"/>
      <c r="CD872" s="24"/>
    </row>
    <row r="873" spans="2:82" ht="16.5" customHeight="1" x14ac:dyDescent="0.3">
      <c r="B873" s="26"/>
      <c r="C873" s="26"/>
      <c r="D873" s="26"/>
      <c r="E873" s="26"/>
      <c r="F873" s="26"/>
      <c r="G873" s="26"/>
      <c r="H873" s="24"/>
      <c r="I873" s="27"/>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c r="BA873" s="24"/>
      <c r="BB873" s="24"/>
      <c r="BC873" s="24"/>
      <c r="BD873" s="24"/>
      <c r="BE873" s="24"/>
      <c r="BF873" s="24"/>
      <c r="BG873" s="24"/>
      <c r="BH873" s="24"/>
      <c r="BI873" s="24"/>
      <c r="BJ873" s="24"/>
      <c r="BK873" s="24"/>
      <c r="BL873" s="24"/>
      <c r="BM873" s="24"/>
      <c r="BN873" s="24"/>
      <c r="BO873" s="24"/>
      <c r="BP873" s="24"/>
      <c r="BQ873" s="24"/>
      <c r="BR873" s="24"/>
      <c r="BS873" s="24"/>
      <c r="BT873" s="24"/>
      <c r="BU873" s="24"/>
      <c r="BV873" s="24"/>
      <c r="BW873" s="24"/>
      <c r="BX873" s="24"/>
      <c r="BY873" s="24"/>
      <c r="BZ873" s="24"/>
      <c r="CA873" s="24"/>
      <c r="CB873" s="24"/>
      <c r="CC873" s="24"/>
      <c r="CD873" s="24"/>
    </row>
    <row r="874" spans="2:82" ht="16.5" customHeight="1" x14ac:dyDescent="0.3">
      <c r="B874" s="26"/>
      <c r="C874" s="26"/>
      <c r="D874" s="26"/>
      <c r="E874" s="26"/>
      <c r="F874" s="26"/>
      <c r="G874" s="26"/>
      <c r="H874" s="24"/>
      <c r="I874" s="27"/>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c r="BA874" s="24"/>
      <c r="BB874" s="24"/>
      <c r="BC874" s="24"/>
      <c r="BD874" s="24"/>
      <c r="BE874" s="24"/>
      <c r="BF874" s="24"/>
      <c r="BG874" s="24"/>
      <c r="BH874" s="24"/>
      <c r="BI874" s="24"/>
      <c r="BJ874" s="24"/>
      <c r="BK874" s="24"/>
      <c r="BL874" s="24"/>
      <c r="BM874" s="24"/>
      <c r="BN874" s="24"/>
      <c r="BO874" s="24"/>
      <c r="BP874" s="24"/>
      <c r="BQ874" s="24"/>
      <c r="BR874" s="24"/>
      <c r="BS874" s="24"/>
      <c r="BT874" s="24"/>
      <c r="BU874" s="24"/>
      <c r="BV874" s="24"/>
      <c r="BW874" s="24"/>
      <c r="BX874" s="24"/>
      <c r="BY874" s="24"/>
      <c r="BZ874" s="24"/>
      <c r="CA874" s="24"/>
      <c r="CB874" s="24"/>
      <c r="CC874" s="24"/>
      <c r="CD874" s="24"/>
    </row>
    <row r="875" spans="2:82" ht="16.5" customHeight="1" x14ac:dyDescent="0.3">
      <c r="B875" s="26"/>
      <c r="C875" s="26"/>
      <c r="D875" s="26"/>
      <c r="E875" s="26"/>
      <c r="F875" s="26"/>
      <c r="G875" s="26"/>
      <c r="H875" s="24"/>
      <c r="I875" s="27"/>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c r="BA875" s="24"/>
      <c r="BB875" s="24"/>
      <c r="BC875" s="24"/>
      <c r="BD875" s="24"/>
      <c r="BE875" s="24"/>
      <c r="BF875" s="24"/>
      <c r="BG875" s="24"/>
      <c r="BH875" s="24"/>
      <c r="BI875" s="24"/>
      <c r="BJ875" s="24"/>
      <c r="BK875" s="24"/>
      <c r="BL875" s="24"/>
      <c r="BM875" s="24"/>
      <c r="BN875" s="24"/>
      <c r="BO875" s="24"/>
      <c r="BP875" s="24"/>
      <c r="BQ875" s="24"/>
      <c r="BR875" s="24"/>
      <c r="BS875" s="24"/>
      <c r="BT875" s="24"/>
      <c r="BU875" s="24"/>
      <c r="BV875" s="24"/>
      <c r="BW875" s="24"/>
      <c r="BX875" s="24"/>
      <c r="BY875" s="24"/>
      <c r="BZ875" s="24"/>
      <c r="CA875" s="24"/>
      <c r="CB875" s="24"/>
      <c r="CC875" s="24"/>
      <c r="CD875" s="24"/>
    </row>
    <row r="876" spans="2:82" ht="16.5" customHeight="1" x14ac:dyDescent="0.3">
      <c r="B876" s="26"/>
      <c r="C876" s="26"/>
      <c r="D876" s="26"/>
      <c r="E876" s="26"/>
      <c r="F876" s="26"/>
      <c r="G876" s="26"/>
      <c r="H876" s="24"/>
      <c r="I876" s="27"/>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c r="BA876" s="24"/>
      <c r="BB876" s="24"/>
      <c r="BC876" s="24"/>
      <c r="BD876" s="24"/>
      <c r="BE876" s="24"/>
      <c r="BF876" s="24"/>
      <c r="BG876" s="24"/>
      <c r="BH876" s="24"/>
      <c r="BI876" s="24"/>
      <c r="BJ876" s="24"/>
      <c r="BK876" s="24"/>
      <c r="BL876" s="24"/>
      <c r="BM876" s="24"/>
      <c r="BN876" s="24"/>
      <c r="BO876" s="24"/>
      <c r="BP876" s="24"/>
      <c r="BQ876" s="24"/>
      <c r="BR876" s="24"/>
      <c r="BS876" s="24"/>
      <c r="BT876" s="24"/>
      <c r="BU876" s="24"/>
      <c r="BV876" s="24"/>
      <c r="BW876" s="24"/>
      <c r="BX876" s="24"/>
      <c r="BY876" s="24"/>
      <c r="BZ876" s="24"/>
      <c r="CA876" s="24"/>
      <c r="CB876" s="24"/>
      <c r="CC876" s="24"/>
      <c r="CD876" s="24"/>
    </row>
    <row r="877" spans="2:82" ht="16.5" customHeight="1" x14ac:dyDescent="0.3">
      <c r="B877" s="26"/>
      <c r="C877" s="26"/>
      <c r="D877" s="26"/>
      <c r="E877" s="26"/>
      <c r="F877" s="26"/>
      <c r="G877" s="26"/>
      <c r="H877" s="24"/>
      <c r="I877" s="27"/>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
      <c r="BF877" s="24"/>
      <c r="BG877" s="24"/>
      <c r="BH877" s="24"/>
      <c r="BI877" s="24"/>
      <c r="BJ877" s="24"/>
      <c r="BK877" s="24"/>
      <c r="BL877" s="24"/>
      <c r="BM877" s="24"/>
      <c r="BN877" s="24"/>
      <c r="BO877" s="24"/>
      <c r="BP877" s="24"/>
      <c r="BQ877" s="24"/>
      <c r="BR877" s="24"/>
      <c r="BS877" s="24"/>
      <c r="BT877" s="24"/>
      <c r="BU877" s="24"/>
      <c r="BV877" s="24"/>
      <c r="BW877" s="24"/>
      <c r="BX877" s="24"/>
      <c r="BY877" s="24"/>
      <c r="BZ877" s="24"/>
      <c r="CA877" s="24"/>
      <c r="CB877" s="24"/>
      <c r="CC877" s="24"/>
      <c r="CD877" s="24"/>
    </row>
    <row r="878" spans="2:82" ht="16.5" customHeight="1" x14ac:dyDescent="0.3">
      <c r="B878" s="26"/>
      <c r="C878" s="26"/>
      <c r="D878" s="26"/>
      <c r="E878" s="26"/>
      <c r="F878" s="26"/>
      <c r="G878" s="26"/>
      <c r="H878" s="24"/>
      <c r="I878" s="27"/>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
      <c r="BF878" s="24"/>
      <c r="BG878" s="24"/>
      <c r="BH878" s="24"/>
      <c r="BI878" s="24"/>
      <c r="BJ878" s="24"/>
      <c r="BK878" s="24"/>
      <c r="BL878" s="24"/>
      <c r="BM878" s="24"/>
      <c r="BN878" s="24"/>
      <c r="BO878" s="24"/>
      <c r="BP878" s="24"/>
      <c r="BQ878" s="24"/>
      <c r="BR878" s="24"/>
      <c r="BS878" s="24"/>
      <c r="BT878" s="24"/>
      <c r="BU878" s="24"/>
      <c r="BV878" s="24"/>
      <c r="BW878" s="24"/>
      <c r="BX878" s="24"/>
      <c r="BY878" s="24"/>
      <c r="BZ878" s="24"/>
      <c r="CA878" s="24"/>
      <c r="CB878" s="24"/>
      <c r="CC878" s="24"/>
      <c r="CD878" s="24"/>
    </row>
    <row r="879" spans="2:82" ht="16.5" customHeight="1" x14ac:dyDescent="0.3">
      <c r="B879" s="26"/>
      <c r="C879" s="26"/>
      <c r="D879" s="26"/>
      <c r="E879" s="26"/>
      <c r="F879" s="26"/>
      <c r="G879" s="26"/>
      <c r="H879" s="24"/>
      <c r="I879" s="27"/>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c r="BA879" s="24"/>
      <c r="BB879" s="24"/>
      <c r="BC879" s="24"/>
      <c r="BD879" s="24"/>
      <c r="BE879" s="24"/>
      <c r="BF879" s="24"/>
      <c r="BG879" s="24"/>
      <c r="BH879" s="24"/>
      <c r="BI879" s="24"/>
      <c r="BJ879" s="24"/>
      <c r="BK879" s="24"/>
      <c r="BL879" s="24"/>
      <c r="BM879" s="24"/>
      <c r="BN879" s="24"/>
      <c r="BO879" s="24"/>
      <c r="BP879" s="24"/>
      <c r="BQ879" s="24"/>
      <c r="BR879" s="24"/>
      <c r="BS879" s="24"/>
      <c r="BT879" s="24"/>
      <c r="BU879" s="24"/>
      <c r="BV879" s="24"/>
      <c r="BW879" s="24"/>
      <c r="BX879" s="24"/>
      <c r="BY879" s="24"/>
      <c r="BZ879" s="24"/>
      <c r="CA879" s="24"/>
      <c r="CB879" s="24"/>
      <c r="CC879" s="24"/>
      <c r="CD879" s="24"/>
    </row>
    <row r="880" spans="2:82" ht="16.5" customHeight="1" x14ac:dyDescent="0.3">
      <c r="B880" s="26"/>
      <c r="C880" s="26"/>
      <c r="D880" s="26"/>
      <c r="E880" s="26"/>
      <c r="F880" s="26"/>
      <c r="G880" s="26"/>
      <c r="H880" s="24"/>
      <c r="I880" s="27"/>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c r="BA880" s="24"/>
      <c r="BB880" s="24"/>
      <c r="BC880" s="24"/>
      <c r="BD880" s="24"/>
      <c r="BE880" s="24"/>
      <c r="BF880" s="24"/>
      <c r="BG880" s="24"/>
      <c r="BH880" s="24"/>
      <c r="BI880" s="24"/>
      <c r="BJ880" s="24"/>
      <c r="BK880" s="24"/>
      <c r="BL880" s="24"/>
      <c r="BM880" s="24"/>
      <c r="BN880" s="24"/>
      <c r="BO880" s="24"/>
      <c r="BP880" s="24"/>
      <c r="BQ880" s="24"/>
      <c r="BR880" s="24"/>
      <c r="BS880" s="24"/>
      <c r="BT880" s="24"/>
      <c r="BU880" s="24"/>
      <c r="BV880" s="24"/>
      <c r="BW880" s="24"/>
      <c r="BX880" s="24"/>
      <c r="BY880" s="24"/>
      <c r="BZ880" s="24"/>
      <c r="CA880" s="24"/>
      <c r="CB880" s="24"/>
      <c r="CC880" s="24"/>
      <c r="CD880" s="24"/>
    </row>
    <row r="881" spans="2:82" ht="16.5" customHeight="1" x14ac:dyDescent="0.3">
      <c r="B881" s="26"/>
      <c r="C881" s="26"/>
      <c r="D881" s="26"/>
      <c r="E881" s="26"/>
      <c r="F881" s="26"/>
      <c r="G881" s="26"/>
      <c r="H881" s="24"/>
      <c r="I881" s="27"/>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c r="BA881" s="24"/>
      <c r="BB881" s="24"/>
      <c r="BC881" s="24"/>
      <c r="BD881" s="24"/>
      <c r="BE881" s="24"/>
      <c r="BF881" s="24"/>
      <c r="BG881" s="24"/>
      <c r="BH881" s="24"/>
      <c r="BI881" s="24"/>
      <c r="BJ881" s="24"/>
      <c r="BK881" s="24"/>
      <c r="BL881" s="24"/>
      <c r="BM881" s="24"/>
      <c r="BN881" s="24"/>
      <c r="BO881" s="24"/>
      <c r="BP881" s="24"/>
      <c r="BQ881" s="24"/>
      <c r="BR881" s="24"/>
      <c r="BS881" s="24"/>
      <c r="BT881" s="24"/>
      <c r="BU881" s="24"/>
      <c r="BV881" s="24"/>
      <c r="BW881" s="24"/>
      <c r="BX881" s="24"/>
      <c r="BY881" s="24"/>
      <c r="BZ881" s="24"/>
      <c r="CA881" s="24"/>
      <c r="CB881" s="24"/>
      <c r="CC881" s="24"/>
      <c r="CD881" s="24"/>
    </row>
    <row r="882" spans="2:82" ht="16.5" customHeight="1" x14ac:dyDescent="0.3">
      <c r="B882" s="26"/>
      <c r="C882" s="26"/>
      <c r="D882" s="26"/>
      <c r="E882" s="26"/>
      <c r="F882" s="26"/>
      <c r="G882" s="26"/>
      <c r="H882" s="24"/>
      <c r="I882" s="27"/>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c r="BA882" s="24"/>
      <c r="BB882" s="24"/>
      <c r="BC882" s="24"/>
      <c r="BD882" s="24"/>
      <c r="BE882" s="24"/>
      <c r="BF882" s="24"/>
      <c r="BG882" s="24"/>
      <c r="BH882" s="24"/>
      <c r="BI882" s="24"/>
      <c r="BJ882" s="24"/>
      <c r="BK882" s="24"/>
      <c r="BL882" s="24"/>
      <c r="BM882" s="24"/>
      <c r="BN882" s="24"/>
      <c r="BO882" s="24"/>
      <c r="BP882" s="24"/>
      <c r="BQ882" s="24"/>
      <c r="BR882" s="24"/>
      <c r="BS882" s="24"/>
      <c r="BT882" s="24"/>
      <c r="BU882" s="24"/>
      <c r="BV882" s="24"/>
      <c r="BW882" s="24"/>
      <c r="BX882" s="24"/>
      <c r="BY882" s="24"/>
      <c r="BZ882" s="24"/>
      <c r="CA882" s="24"/>
      <c r="CB882" s="24"/>
      <c r="CC882" s="24"/>
      <c r="CD882" s="24"/>
    </row>
    <row r="883" spans="2:82" ht="16.5" customHeight="1" x14ac:dyDescent="0.3">
      <c r="B883" s="26"/>
      <c r="C883" s="26"/>
      <c r="D883" s="26"/>
      <c r="E883" s="26"/>
      <c r="F883" s="26"/>
      <c r="G883" s="26"/>
      <c r="H883" s="24"/>
      <c r="I883" s="27"/>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c r="BC883" s="24"/>
      <c r="BD883" s="24"/>
      <c r="BE883" s="24"/>
      <c r="BF883" s="24"/>
      <c r="BG883" s="24"/>
      <c r="BH883" s="24"/>
      <c r="BI883" s="24"/>
      <c r="BJ883" s="24"/>
      <c r="BK883" s="24"/>
      <c r="BL883" s="24"/>
      <c r="BM883" s="24"/>
      <c r="BN883" s="24"/>
      <c r="BO883" s="24"/>
      <c r="BP883" s="24"/>
      <c r="BQ883" s="24"/>
      <c r="BR883" s="24"/>
      <c r="BS883" s="24"/>
      <c r="BT883" s="24"/>
      <c r="BU883" s="24"/>
      <c r="BV883" s="24"/>
      <c r="BW883" s="24"/>
      <c r="BX883" s="24"/>
      <c r="BY883" s="24"/>
      <c r="BZ883" s="24"/>
      <c r="CA883" s="24"/>
      <c r="CB883" s="24"/>
      <c r="CC883" s="24"/>
      <c r="CD883" s="24"/>
    </row>
    <row r="884" spans="2:82" ht="16.5" customHeight="1" x14ac:dyDescent="0.3">
      <c r="B884" s="26"/>
      <c r="C884" s="26"/>
      <c r="D884" s="26"/>
      <c r="E884" s="26"/>
      <c r="F884" s="26"/>
      <c r="G884" s="26"/>
      <c r="H884" s="24"/>
      <c r="I884" s="27"/>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c r="BC884" s="24"/>
      <c r="BD884" s="24"/>
      <c r="BE884" s="24"/>
      <c r="BF884" s="24"/>
      <c r="BG884" s="24"/>
      <c r="BH884" s="24"/>
      <c r="BI884" s="24"/>
      <c r="BJ884" s="24"/>
      <c r="BK884" s="24"/>
      <c r="BL884" s="24"/>
      <c r="BM884" s="24"/>
      <c r="BN884" s="24"/>
      <c r="BO884" s="24"/>
      <c r="BP884" s="24"/>
      <c r="BQ884" s="24"/>
      <c r="BR884" s="24"/>
      <c r="BS884" s="24"/>
      <c r="BT884" s="24"/>
      <c r="BU884" s="24"/>
      <c r="BV884" s="24"/>
      <c r="BW884" s="24"/>
      <c r="BX884" s="24"/>
      <c r="BY884" s="24"/>
      <c r="BZ884" s="24"/>
      <c r="CA884" s="24"/>
      <c r="CB884" s="24"/>
      <c r="CC884" s="24"/>
      <c r="CD884" s="24"/>
    </row>
    <row r="885" spans="2:82" ht="16.5" customHeight="1" x14ac:dyDescent="0.3">
      <c r="B885" s="26"/>
      <c r="C885" s="26"/>
      <c r="D885" s="26"/>
      <c r="E885" s="26"/>
      <c r="F885" s="26"/>
      <c r="G885" s="26"/>
      <c r="H885" s="24"/>
      <c r="I885" s="27"/>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C885" s="24"/>
      <c r="BD885" s="24"/>
      <c r="BE885" s="24"/>
      <c r="BF885" s="24"/>
      <c r="BG885" s="24"/>
      <c r="BH885" s="24"/>
      <c r="BI885" s="24"/>
      <c r="BJ885" s="24"/>
      <c r="BK885" s="24"/>
      <c r="BL885" s="24"/>
      <c r="BM885" s="24"/>
      <c r="BN885" s="24"/>
      <c r="BO885" s="24"/>
      <c r="BP885" s="24"/>
      <c r="BQ885" s="24"/>
      <c r="BR885" s="24"/>
      <c r="BS885" s="24"/>
      <c r="BT885" s="24"/>
      <c r="BU885" s="24"/>
      <c r="BV885" s="24"/>
      <c r="BW885" s="24"/>
      <c r="BX885" s="24"/>
      <c r="BY885" s="24"/>
      <c r="BZ885" s="24"/>
      <c r="CA885" s="24"/>
      <c r="CB885" s="24"/>
      <c r="CC885" s="24"/>
      <c r="CD885" s="24"/>
    </row>
    <row r="886" spans="2:82" ht="16.5" customHeight="1" x14ac:dyDescent="0.3">
      <c r="B886" s="26"/>
      <c r="C886" s="26"/>
      <c r="D886" s="26"/>
      <c r="E886" s="26"/>
      <c r="F886" s="26"/>
      <c r="G886" s="26"/>
      <c r="H886" s="24"/>
      <c r="I886" s="27"/>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c r="BC886" s="24"/>
      <c r="BD886" s="24"/>
      <c r="BE886" s="24"/>
      <c r="BF886" s="24"/>
      <c r="BG886" s="24"/>
      <c r="BH886" s="24"/>
      <c r="BI886" s="24"/>
      <c r="BJ886" s="24"/>
      <c r="BK886" s="24"/>
      <c r="BL886" s="24"/>
      <c r="BM886" s="24"/>
      <c r="BN886" s="24"/>
      <c r="BO886" s="24"/>
      <c r="BP886" s="24"/>
      <c r="BQ886" s="24"/>
      <c r="BR886" s="24"/>
      <c r="BS886" s="24"/>
      <c r="BT886" s="24"/>
      <c r="BU886" s="24"/>
      <c r="BV886" s="24"/>
      <c r="BW886" s="24"/>
      <c r="BX886" s="24"/>
      <c r="BY886" s="24"/>
      <c r="BZ886" s="24"/>
      <c r="CA886" s="24"/>
      <c r="CB886" s="24"/>
      <c r="CC886" s="24"/>
      <c r="CD886" s="24"/>
    </row>
    <row r="887" spans="2:82" ht="16.5" customHeight="1" x14ac:dyDescent="0.3">
      <c r="B887" s="26"/>
      <c r="C887" s="26"/>
      <c r="D887" s="26"/>
      <c r="E887" s="26"/>
      <c r="F887" s="26"/>
      <c r="G887" s="26"/>
      <c r="H887" s="24"/>
      <c r="I887" s="27"/>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c r="BF887" s="24"/>
      <c r="BG887" s="24"/>
      <c r="BH887" s="24"/>
      <c r="BI887" s="24"/>
      <c r="BJ887" s="24"/>
      <c r="BK887" s="24"/>
      <c r="BL887" s="24"/>
      <c r="BM887" s="24"/>
      <c r="BN887" s="24"/>
      <c r="BO887" s="24"/>
      <c r="BP887" s="24"/>
      <c r="BQ887" s="24"/>
      <c r="BR887" s="24"/>
      <c r="BS887" s="24"/>
      <c r="BT887" s="24"/>
      <c r="BU887" s="24"/>
      <c r="BV887" s="24"/>
      <c r="BW887" s="24"/>
      <c r="BX887" s="24"/>
      <c r="BY887" s="24"/>
      <c r="BZ887" s="24"/>
      <c r="CA887" s="24"/>
      <c r="CB887" s="24"/>
      <c r="CC887" s="24"/>
      <c r="CD887" s="24"/>
    </row>
    <row r="888" spans="2:82" ht="16.5" customHeight="1" x14ac:dyDescent="0.3">
      <c r="B888" s="26"/>
      <c r="C888" s="26"/>
      <c r="D888" s="26"/>
      <c r="E888" s="26"/>
      <c r="F888" s="26"/>
      <c r="G888" s="26"/>
      <c r="H888" s="24"/>
      <c r="I888" s="27"/>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c r="BA888" s="24"/>
      <c r="BB888" s="24"/>
      <c r="BC888" s="24"/>
      <c r="BD888" s="24"/>
      <c r="BE888" s="24"/>
      <c r="BF888" s="24"/>
      <c r="BG888" s="24"/>
      <c r="BH888" s="24"/>
      <c r="BI888" s="24"/>
      <c r="BJ888" s="24"/>
      <c r="BK888" s="24"/>
      <c r="BL888" s="24"/>
      <c r="BM888" s="24"/>
      <c r="BN888" s="24"/>
      <c r="BO888" s="24"/>
      <c r="BP888" s="24"/>
      <c r="BQ888" s="24"/>
      <c r="BR888" s="24"/>
      <c r="BS888" s="24"/>
      <c r="BT888" s="24"/>
      <c r="BU888" s="24"/>
      <c r="BV888" s="24"/>
      <c r="BW888" s="24"/>
      <c r="BX888" s="24"/>
      <c r="BY888" s="24"/>
      <c r="BZ888" s="24"/>
      <c r="CA888" s="24"/>
      <c r="CB888" s="24"/>
      <c r="CC888" s="24"/>
      <c r="CD888" s="24"/>
    </row>
    <row r="889" spans="2:82" ht="16.5" customHeight="1" x14ac:dyDescent="0.3">
      <c r="B889" s="26"/>
      <c r="C889" s="26"/>
      <c r="D889" s="26"/>
      <c r="E889" s="26"/>
      <c r="F889" s="26"/>
      <c r="G889" s="26"/>
      <c r="H889" s="24"/>
      <c r="I889" s="27"/>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c r="BA889" s="24"/>
      <c r="BB889" s="24"/>
      <c r="BC889" s="24"/>
      <c r="BD889" s="24"/>
      <c r="BE889" s="24"/>
      <c r="BF889" s="24"/>
      <c r="BG889" s="24"/>
      <c r="BH889" s="24"/>
      <c r="BI889" s="24"/>
      <c r="BJ889" s="24"/>
      <c r="BK889" s="24"/>
      <c r="BL889" s="24"/>
      <c r="BM889" s="24"/>
      <c r="BN889" s="24"/>
      <c r="BO889" s="24"/>
      <c r="BP889" s="24"/>
      <c r="BQ889" s="24"/>
      <c r="BR889" s="24"/>
      <c r="BS889" s="24"/>
      <c r="BT889" s="24"/>
      <c r="BU889" s="24"/>
      <c r="BV889" s="24"/>
      <c r="BW889" s="24"/>
      <c r="BX889" s="24"/>
      <c r="BY889" s="24"/>
      <c r="BZ889" s="24"/>
      <c r="CA889" s="24"/>
      <c r="CB889" s="24"/>
      <c r="CC889" s="24"/>
      <c r="CD889" s="24"/>
    </row>
    <row r="890" spans="2:82" ht="16.5" customHeight="1" x14ac:dyDescent="0.3">
      <c r="B890" s="26"/>
      <c r="C890" s="26"/>
      <c r="D890" s="26"/>
      <c r="E890" s="26"/>
      <c r="F890" s="26"/>
      <c r="G890" s="26"/>
      <c r="H890" s="24"/>
      <c r="I890" s="27"/>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c r="BA890" s="24"/>
      <c r="BB890" s="24"/>
      <c r="BC890" s="24"/>
      <c r="BD890" s="24"/>
      <c r="BE890" s="24"/>
      <c r="BF890" s="24"/>
      <c r="BG890" s="24"/>
      <c r="BH890" s="24"/>
      <c r="BI890" s="24"/>
      <c r="BJ890" s="24"/>
      <c r="BK890" s="24"/>
      <c r="BL890" s="24"/>
      <c r="BM890" s="24"/>
      <c r="BN890" s="24"/>
      <c r="BO890" s="24"/>
      <c r="BP890" s="24"/>
      <c r="BQ890" s="24"/>
      <c r="BR890" s="24"/>
      <c r="BS890" s="24"/>
      <c r="BT890" s="24"/>
      <c r="BU890" s="24"/>
      <c r="BV890" s="24"/>
      <c r="BW890" s="24"/>
      <c r="BX890" s="24"/>
      <c r="BY890" s="24"/>
      <c r="BZ890" s="24"/>
      <c r="CA890" s="24"/>
      <c r="CB890" s="24"/>
      <c r="CC890" s="24"/>
      <c r="CD890" s="24"/>
    </row>
    <row r="891" spans="2:82" ht="16.5" customHeight="1" x14ac:dyDescent="0.3">
      <c r="B891" s="26"/>
      <c r="C891" s="26"/>
      <c r="D891" s="26"/>
      <c r="E891" s="26"/>
      <c r="F891" s="26"/>
      <c r="G891" s="26"/>
      <c r="H891" s="24"/>
      <c r="I891" s="27"/>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c r="BA891" s="24"/>
      <c r="BB891" s="24"/>
      <c r="BC891" s="24"/>
      <c r="BD891" s="24"/>
      <c r="BE891" s="24"/>
      <c r="BF891" s="24"/>
      <c r="BG891" s="24"/>
      <c r="BH891" s="24"/>
      <c r="BI891" s="24"/>
      <c r="BJ891" s="24"/>
      <c r="BK891" s="24"/>
      <c r="BL891" s="24"/>
      <c r="BM891" s="24"/>
      <c r="BN891" s="24"/>
      <c r="BO891" s="24"/>
      <c r="BP891" s="24"/>
      <c r="BQ891" s="24"/>
      <c r="BR891" s="24"/>
      <c r="BS891" s="24"/>
      <c r="BT891" s="24"/>
      <c r="BU891" s="24"/>
      <c r="BV891" s="24"/>
      <c r="BW891" s="24"/>
      <c r="BX891" s="24"/>
      <c r="BY891" s="24"/>
      <c r="BZ891" s="24"/>
      <c r="CA891" s="24"/>
      <c r="CB891" s="24"/>
      <c r="CC891" s="24"/>
      <c r="CD891" s="24"/>
    </row>
    <row r="892" spans="2:82" ht="16.5" customHeight="1" x14ac:dyDescent="0.3">
      <c r="B892" s="26"/>
      <c r="C892" s="26"/>
      <c r="D892" s="26"/>
      <c r="E892" s="26"/>
      <c r="F892" s="26"/>
      <c r="G892" s="26"/>
      <c r="H892" s="24"/>
      <c r="I892" s="27"/>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c r="BA892" s="24"/>
      <c r="BB892" s="24"/>
      <c r="BC892" s="24"/>
      <c r="BD892" s="24"/>
      <c r="BE892" s="24"/>
      <c r="BF892" s="24"/>
      <c r="BG892" s="24"/>
      <c r="BH892" s="24"/>
      <c r="BI892" s="24"/>
      <c r="BJ892" s="24"/>
      <c r="BK892" s="24"/>
      <c r="BL892" s="24"/>
      <c r="BM892" s="24"/>
      <c r="BN892" s="24"/>
      <c r="BO892" s="24"/>
      <c r="BP892" s="24"/>
      <c r="BQ892" s="24"/>
      <c r="BR892" s="24"/>
      <c r="BS892" s="24"/>
      <c r="BT892" s="24"/>
      <c r="BU892" s="24"/>
      <c r="BV892" s="24"/>
      <c r="BW892" s="24"/>
      <c r="BX892" s="24"/>
      <c r="BY892" s="24"/>
      <c r="BZ892" s="24"/>
      <c r="CA892" s="24"/>
      <c r="CB892" s="24"/>
      <c r="CC892" s="24"/>
      <c r="CD892" s="24"/>
    </row>
    <row r="893" spans="2:82" ht="16.5" customHeight="1" x14ac:dyDescent="0.3">
      <c r="B893" s="26"/>
      <c r="C893" s="26"/>
      <c r="D893" s="26"/>
      <c r="E893" s="26"/>
      <c r="F893" s="26"/>
      <c r="G893" s="26"/>
      <c r="H893" s="24"/>
      <c r="I893" s="27"/>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c r="BA893" s="24"/>
      <c r="BB893" s="24"/>
      <c r="BC893" s="24"/>
      <c r="BD893" s="24"/>
      <c r="BE893" s="24"/>
      <c r="BF893" s="24"/>
      <c r="BG893" s="24"/>
      <c r="BH893" s="24"/>
      <c r="BI893" s="24"/>
      <c r="BJ893" s="24"/>
      <c r="BK893" s="24"/>
      <c r="BL893" s="24"/>
      <c r="BM893" s="24"/>
      <c r="BN893" s="24"/>
      <c r="BO893" s="24"/>
      <c r="BP893" s="24"/>
      <c r="BQ893" s="24"/>
      <c r="BR893" s="24"/>
      <c r="BS893" s="24"/>
      <c r="BT893" s="24"/>
      <c r="BU893" s="24"/>
      <c r="BV893" s="24"/>
      <c r="BW893" s="24"/>
      <c r="BX893" s="24"/>
      <c r="BY893" s="24"/>
      <c r="BZ893" s="24"/>
      <c r="CA893" s="24"/>
      <c r="CB893" s="24"/>
      <c r="CC893" s="24"/>
      <c r="CD893" s="24"/>
    </row>
    <row r="894" spans="2:82" ht="16.5" customHeight="1" x14ac:dyDescent="0.3">
      <c r="B894" s="26"/>
      <c r="C894" s="26"/>
      <c r="D894" s="26"/>
      <c r="E894" s="26"/>
      <c r="F894" s="26"/>
      <c r="G894" s="26"/>
      <c r="H894" s="24"/>
      <c r="I894" s="27"/>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c r="BA894" s="24"/>
      <c r="BB894" s="24"/>
      <c r="BC894" s="24"/>
      <c r="BD894" s="24"/>
      <c r="BE894" s="24"/>
      <c r="BF894" s="24"/>
      <c r="BG894" s="24"/>
      <c r="BH894" s="24"/>
      <c r="BI894" s="24"/>
      <c r="BJ894" s="24"/>
      <c r="BK894" s="24"/>
      <c r="BL894" s="24"/>
      <c r="BM894" s="24"/>
      <c r="BN894" s="24"/>
      <c r="BO894" s="24"/>
      <c r="BP894" s="24"/>
      <c r="BQ894" s="24"/>
      <c r="BR894" s="24"/>
      <c r="BS894" s="24"/>
      <c r="BT894" s="24"/>
      <c r="BU894" s="24"/>
      <c r="BV894" s="24"/>
      <c r="BW894" s="24"/>
      <c r="BX894" s="24"/>
      <c r="BY894" s="24"/>
      <c r="BZ894" s="24"/>
      <c r="CA894" s="24"/>
      <c r="CB894" s="24"/>
      <c r="CC894" s="24"/>
      <c r="CD894" s="24"/>
    </row>
    <row r="895" spans="2:82" ht="16.5" customHeight="1" x14ac:dyDescent="0.3">
      <c r="B895" s="26"/>
      <c r="C895" s="26"/>
      <c r="D895" s="26"/>
      <c r="E895" s="26"/>
      <c r="F895" s="26"/>
      <c r="G895" s="26"/>
      <c r="H895" s="24"/>
      <c r="I895" s="27"/>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c r="BA895" s="24"/>
      <c r="BB895" s="24"/>
      <c r="BC895" s="24"/>
      <c r="BD895" s="24"/>
      <c r="BE895" s="24"/>
      <c r="BF895" s="24"/>
      <c r="BG895" s="24"/>
      <c r="BH895" s="24"/>
      <c r="BI895" s="24"/>
      <c r="BJ895" s="24"/>
      <c r="BK895" s="24"/>
      <c r="BL895" s="24"/>
      <c r="BM895" s="24"/>
      <c r="BN895" s="24"/>
      <c r="BO895" s="24"/>
      <c r="BP895" s="24"/>
      <c r="BQ895" s="24"/>
      <c r="BR895" s="24"/>
      <c r="BS895" s="24"/>
      <c r="BT895" s="24"/>
      <c r="BU895" s="24"/>
      <c r="BV895" s="24"/>
      <c r="BW895" s="24"/>
      <c r="BX895" s="24"/>
      <c r="BY895" s="24"/>
      <c r="BZ895" s="24"/>
      <c r="CA895" s="24"/>
      <c r="CB895" s="24"/>
      <c r="CC895" s="24"/>
      <c r="CD895" s="24"/>
    </row>
    <row r="896" spans="2:82" ht="16.5" customHeight="1" x14ac:dyDescent="0.3">
      <c r="B896" s="26"/>
      <c r="C896" s="26"/>
      <c r="D896" s="26"/>
      <c r="E896" s="26"/>
      <c r="F896" s="26"/>
      <c r="G896" s="26"/>
      <c r="H896" s="24"/>
      <c r="I896" s="27"/>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c r="BA896" s="24"/>
      <c r="BB896" s="24"/>
      <c r="BC896" s="24"/>
      <c r="BD896" s="24"/>
      <c r="BE896" s="24"/>
      <c r="BF896" s="24"/>
      <c r="BG896" s="24"/>
      <c r="BH896" s="24"/>
      <c r="BI896" s="24"/>
      <c r="BJ896" s="24"/>
      <c r="BK896" s="24"/>
      <c r="BL896" s="24"/>
      <c r="BM896" s="24"/>
      <c r="BN896" s="24"/>
      <c r="BO896" s="24"/>
      <c r="BP896" s="24"/>
      <c r="BQ896" s="24"/>
      <c r="BR896" s="24"/>
      <c r="BS896" s="24"/>
      <c r="BT896" s="24"/>
      <c r="BU896" s="24"/>
      <c r="BV896" s="24"/>
      <c r="BW896" s="24"/>
      <c r="BX896" s="24"/>
      <c r="BY896" s="24"/>
      <c r="BZ896" s="24"/>
      <c r="CA896" s="24"/>
      <c r="CB896" s="24"/>
      <c r="CC896" s="24"/>
      <c r="CD896" s="24"/>
    </row>
    <row r="897" spans="2:82" ht="16.5" customHeight="1" x14ac:dyDescent="0.3">
      <c r="B897" s="26"/>
      <c r="C897" s="26"/>
      <c r="D897" s="26"/>
      <c r="E897" s="26"/>
      <c r="F897" s="26"/>
      <c r="G897" s="26"/>
      <c r="H897" s="24"/>
      <c r="I897" s="27"/>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c r="BA897" s="24"/>
      <c r="BB897" s="24"/>
      <c r="BC897" s="24"/>
      <c r="BD897" s="24"/>
      <c r="BE897" s="24"/>
      <c r="BF897" s="24"/>
      <c r="BG897" s="24"/>
      <c r="BH897" s="24"/>
      <c r="BI897" s="24"/>
      <c r="BJ897" s="24"/>
      <c r="BK897" s="24"/>
      <c r="BL897" s="24"/>
      <c r="BM897" s="24"/>
      <c r="BN897" s="24"/>
      <c r="BO897" s="24"/>
      <c r="BP897" s="24"/>
      <c r="BQ897" s="24"/>
      <c r="BR897" s="24"/>
      <c r="BS897" s="24"/>
      <c r="BT897" s="24"/>
      <c r="BU897" s="24"/>
      <c r="BV897" s="24"/>
      <c r="BW897" s="24"/>
      <c r="BX897" s="24"/>
      <c r="BY897" s="24"/>
      <c r="BZ897" s="24"/>
      <c r="CA897" s="24"/>
      <c r="CB897" s="24"/>
      <c r="CC897" s="24"/>
      <c r="CD897" s="24"/>
    </row>
    <row r="898" spans="2:82" ht="16.5" customHeight="1" x14ac:dyDescent="0.3">
      <c r="B898" s="26"/>
      <c r="C898" s="26"/>
      <c r="D898" s="26"/>
      <c r="E898" s="26"/>
      <c r="F898" s="26"/>
      <c r="G898" s="26"/>
      <c r="H898" s="24"/>
      <c r="I898" s="27"/>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c r="BA898" s="24"/>
      <c r="BB898" s="24"/>
      <c r="BC898" s="24"/>
      <c r="BD898" s="24"/>
      <c r="BE898" s="24"/>
      <c r="BF898" s="24"/>
      <c r="BG898" s="24"/>
      <c r="BH898" s="24"/>
      <c r="BI898" s="24"/>
      <c r="BJ898" s="24"/>
      <c r="BK898" s="24"/>
      <c r="BL898" s="24"/>
      <c r="BM898" s="24"/>
      <c r="BN898" s="24"/>
      <c r="BO898" s="24"/>
      <c r="BP898" s="24"/>
      <c r="BQ898" s="24"/>
      <c r="BR898" s="24"/>
      <c r="BS898" s="24"/>
      <c r="BT898" s="24"/>
      <c r="BU898" s="24"/>
      <c r="BV898" s="24"/>
      <c r="BW898" s="24"/>
      <c r="BX898" s="24"/>
      <c r="BY898" s="24"/>
      <c r="BZ898" s="24"/>
      <c r="CA898" s="24"/>
      <c r="CB898" s="24"/>
      <c r="CC898" s="24"/>
      <c r="CD898" s="24"/>
    </row>
    <row r="899" spans="2:82" ht="16.5" customHeight="1" x14ac:dyDescent="0.3">
      <c r="B899" s="26"/>
      <c r="C899" s="26"/>
      <c r="D899" s="26"/>
      <c r="E899" s="26"/>
      <c r="F899" s="26"/>
      <c r="G899" s="26"/>
      <c r="H899" s="24"/>
      <c r="I899" s="27"/>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c r="BA899" s="24"/>
      <c r="BB899" s="24"/>
      <c r="BC899" s="24"/>
      <c r="BD899" s="24"/>
      <c r="BE899" s="24"/>
      <c r="BF899" s="24"/>
      <c r="BG899" s="24"/>
      <c r="BH899" s="24"/>
      <c r="BI899" s="24"/>
      <c r="BJ899" s="24"/>
      <c r="BK899" s="24"/>
      <c r="BL899" s="24"/>
      <c r="BM899" s="24"/>
      <c r="BN899" s="24"/>
      <c r="BO899" s="24"/>
      <c r="BP899" s="24"/>
      <c r="BQ899" s="24"/>
      <c r="BR899" s="24"/>
      <c r="BS899" s="24"/>
      <c r="BT899" s="24"/>
      <c r="BU899" s="24"/>
      <c r="BV899" s="24"/>
      <c r="BW899" s="24"/>
      <c r="BX899" s="24"/>
      <c r="BY899" s="24"/>
      <c r="BZ899" s="24"/>
      <c r="CA899" s="24"/>
      <c r="CB899" s="24"/>
      <c r="CC899" s="24"/>
      <c r="CD899" s="24"/>
    </row>
    <row r="900" spans="2:82" ht="16.5" customHeight="1" x14ac:dyDescent="0.3">
      <c r="B900" s="26"/>
      <c r="C900" s="26"/>
      <c r="D900" s="26"/>
      <c r="E900" s="26"/>
      <c r="F900" s="26"/>
      <c r="G900" s="26"/>
      <c r="H900" s="24"/>
      <c r="I900" s="27"/>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c r="BA900" s="24"/>
      <c r="BB900" s="24"/>
      <c r="BC900" s="24"/>
      <c r="BD900" s="24"/>
      <c r="BE900" s="24"/>
      <c r="BF900" s="24"/>
      <c r="BG900" s="24"/>
      <c r="BH900" s="24"/>
      <c r="BI900" s="24"/>
      <c r="BJ900" s="24"/>
      <c r="BK900" s="24"/>
      <c r="BL900" s="24"/>
      <c r="BM900" s="24"/>
      <c r="BN900" s="24"/>
      <c r="BO900" s="24"/>
      <c r="BP900" s="24"/>
      <c r="BQ900" s="24"/>
      <c r="BR900" s="24"/>
      <c r="BS900" s="24"/>
      <c r="BT900" s="24"/>
      <c r="BU900" s="24"/>
      <c r="BV900" s="24"/>
      <c r="BW900" s="24"/>
      <c r="BX900" s="24"/>
      <c r="BY900" s="24"/>
      <c r="BZ900" s="24"/>
      <c r="CA900" s="24"/>
      <c r="CB900" s="24"/>
      <c r="CC900" s="24"/>
      <c r="CD900" s="24"/>
    </row>
    <row r="901" spans="2:82" ht="16.5" customHeight="1" x14ac:dyDescent="0.3">
      <c r="B901" s="26"/>
      <c r="C901" s="26"/>
      <c r="D901" s="26"/>
      <c r="E901" s="26"/>
      <c r="F901" s="26"/>
      <c r="G901" s="26"/>
      <c r="H901" s="24"/>
      <c r="I901" s="27"/>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c r="BA901" s="24"/>
      <c r="BB901" s="24"/>
      <c r="BC901" s="24"/>
      <c r="BD901" s="24"/>
      <c r="BE901" s="24"/>
      <c r="BF901" s="24"/>
      <c r="BG901" s="24"/>
      <c r="BH901" s="24"/>
      <c r="BI901" s="24"/>
      <c r="BJ901" s="24"/>
      <c r="BK901" s="24"/>
      <c r="BL901" s="24"/>
      <c r="BM901" s="24"/>
      <c r="BN901" s="24"/>
      <c r="BO901" s="24"/>
      <c r="BP901" s="24"/>
      <c r="BQ901" s="24"/>
      <c r="BR901" s="24"/>
      <c r="BS901" s="24"/>
      <c r="BT901" s="24"/>
      <c r="BU901" s="24"/>
      <c r="BV901" s="24"/>
      <c r="BW901" s="24"/>
      <c r="BX901" s="24"/>
      <c r="BY901" s="24"/>
      <c r="BZ901" s="24"/>
      <c r="CA901" s="24"/>
      <c r="CB901" s="24"/>
      <c r="CC901" s="24"/>
      <c r="CD901" s="24"/>
    </row>
    <row r="902" spans="2:82" ht="16.5" customHeight="1" x14ac:dyDescent="0.3">
      <c r="B902" s="26"/>
      <c r="C902" s="26"/>
      <c r="D902" s="26"/>
      <c r="E902" s="26"/>
      <c r="F902" s="26"/>
      <c r="G902" s="26"/>
      <c r="H902" s="24"/>
      <c r="I902" s="27"/>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c r="BC902" s="24"/>
      <c r="BD902" s="24"/>
      <c r="BE902" s="24"/>
      <c r="BF902" s="24"/>
      <c r="BG902" s="24"/>
      <c r="BH902" s="24"/>
      <c r="BI902" s="24"/>
      <c r="BJ902" s="24"/>
      <c r="BK902" s="24"/>
      <c r="BL902" s="24"/>
      <c r="BM902" s="24"/>
      <c r="BN902" s="24"/>
      <c r="BO902" s="24"/>
      <c r="BP902" s="24"/>
      <c r="BQ902" s="24"/>
      <c r="BR902" s="24"/>
      <c r="BS902" s="24"/>
      <c r="BT902" s="24"/>
      <c r="BU902" s="24"/>
      <c r="BV902" s="24"/>
      <c r="BW902" s="24"/>
      <c r="BX902" s="24"/>
      <c r="BY902" s="24"/>
      <c r="BZ902" s="24"/>
      <c r="CA902" s="24"/>
      <c r="CB902" s="24"/>
      <c r="CC902" s="24"/>
      <c r="CD902" s="24"/>
    </row>
    <row r="903" spans="2:82" ht="16.5" customHeight="1" x14ac:dyDescent="0.3">
      <c r="B903" s="26"/>
      <c r="C903" s="26"/>
      <c r="D903" s="26"/>
      <c r="E903" s="26"/>
      <c r="F903" s="26"/>
      <c r="G903" s="26"/>
      <c r="H903" s="24"/>
      <c r="I903" s="27"/>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c r="BC903" s="24"/>
      <c r="BD903" s="24"/>
      <c r="BE903" s="24"/>
      <c r="BF903" s="24"/>
      <c r="BG903" s="24"/>
      <c r="BH903" s="24"/>
      <c r="BI903" s="24"/>
      <c r="BJ903" s="24"/>
      <c r="BK903" s="24"/>
      <c r="BL903" s="24"/>
      <c r="BM903" s="24"/>
      <c r="BN903" s="24"/>
      <c r="BO903" s="24"/>
      <c r="BP903" s="24"/>
      <c r="BQ903" s="24"/>
      <c r="BR903" s="24"/>
      <c r="BS903" s="24"/>
      <c r="BT903" s="24"/>
      <c r="BU903" s="24"/>
      <c r="BV903" s="24"/>
      <c r="BW903" s="24"/>
      <c r="BX903" s="24"/>
      <c r="BY903" s="24"/>
      <c r="BZ903" s="24"/>
      <c r="CA903" s="24"/>
      <c r="CB903" s="24"/>
      <c r="CC903" s="24"/>
      <c r="CD903" s="24"/>
    </row>
    <row r="904" spans="2:82" ht="16.5" customHeight="1" x14ac:dyDescent="0.3">
      <c r="B904" s="26"/>
      <c r="C904" s="26"/>
      <c r="D904" s="26"/>
      <c r="E904" s="26"/>
      <c r="F904" s="26"/>
      <c r="G904" s="26"/>
      <c r="H904" s="24"/>
      <c r="I904" s="27"/>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C904" s="24"/>
      <c r="BD904" s="24"/>
      <c r="BE904" s="24"/>
      <c r="BF904" s="24"/>
      <c r="BG904" s="24"/>
      <c r="BH904" s="24"/>
      <c r="BI904" s="24"/>
      <c r="BJ904" s="24"/>
      <c r="BK904" s="24"/>
      <c r="BL904" s="24"/>
      <c r="BM904" s="24"/>
      <c r="BN904" s="24"/>
      <c r="BO904" s="24"/>
      <c r="BP904" s="24"/>
      <c r="BQ904" s="24"/>
      <c r="BR904" s="24"/>
      <c r="BS904" s="24"/>
      <c r="BT904" s="24"/>
      <c r="BU904" s="24"/>
      <c r="BV904" s="24"/>
      <c r="BW904" s="24"/>
      <c r="BX904" s="24"/>
      <c r="BY904" s="24"/>
      <c r="BZ904" s="24"/>
      <c r="CA904" s="24"/>
      <c r="CB904" s="24"/>
      <c r="CC904" s="24"/>
      <c r="CD904" s="24"/>
    </row>
    <row r="905" spans="2:82" ht="16.5" customHeight="1" x14ac:dyDescent="0.3">
      <c r="B905" s="26"/>
      <c r="C905" s="26"/>
      <c r="D905" s="26"/>
      <c r="E905" s="26"/>
      <c r="F905" s="26"/>
      <c r="G905" s="26"/>
      <c r="H905" s="24"/>
      <c r="I905" s="27"/>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c r="BC905" s="24"/>
      <c r="BD905" s="24"/>
      <c r="BE905" s="24"/>
      <c r="BF905" s="24"/>
      <c r="BG905" s="24"/>
      <c r="BH905" s="24"/>
      <c r="BI905" s="24"/>
      <c r="BJ905" s="24"/>
      <c r="BK905" s="24"/>
      <c r="BL905" s="24"/>
      <c r="BM905" s="24"/>
      <c r="BN905" s="24"/>
      <c r="BO905" s="24"/>
      <c r="BP905" s="24"/>
      <c r="BQ905" s="24"/>
      <c r="BR905" s="24"/>
      <c r="BS905" s="24"/>
      <c r="BT905" s="24"/>
      <c r="BU905" s="24"/>
      <c r="BV905" s="24"/>
      <c r="BW905" s="24"/>
      <c r="BX905" s="24"/>
      <c r="BY905" s="24"/>
      <c r="BZ905" s="24"/>
      <c r="CA905" s="24"/>
      <c r="CB905" s="24"/>
      <c r="CC905" s="24"/>
      <c r="CD905" s="24"/>
    </row>
    <row r="906" spans="2:82" ht="16.5" customHeight="1" x14ac:dyDescent="0.3">
      <c r="B906" s="26"/>
      <c r="C906" s="26"/>
      <c r="D906" s="26"/>
      <c r="E906" s="26"/>
      <c r="F906" s="26"/>
      <c r="G906" s="26"/>
      <c r="H906" s="24"/>
      <c r="I906" s="27"/>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c r="BC906" s="24"/>
      <c r="BD906" s="24"/>
      <c r="BE906" s="24"/>
      <c r="BF906" s="24"/>
      <c r="BG906" s="24"/>
      <c r="BH906" s="24"/>
      <c r="BI906" s="24"/>
      <c r="BJ906" s="24"/>
      <c r="BK906" s="24"/>
      <c r="BL906" s="24"/>
      <c r="BM906" s="24"/>
      <c r="BN906" s="24"/>
      <c r="BO906" s="24"/>
      <c r="BP906" s="24"/>
      <c r="BQ906" s="24"/>
      <c r="BR906" s="24"/>
      <c r="BS906" s="24"/>
      <c r="BT906" s="24"/>
      <c r="BU906" s="24"/>
      <c r="BV906" s="24"/>
      <c r="BW906" s="24"/>
      <c r="BX906" s="24"/>
      <c r="BY906" s="24"/>
      <c r="BZ906" s="24"/>
      <c r="CA906" s="24"/>
      <c r="CB906" s="24"/>
      <c r="CC906" s="24"/>
      <c r="CD906" s="24"/>
    </row>
    <row r="907" spans="2:82" ht="16.5" customHeight="1" x14ac:dyDescent="0.3">
      <c r="B907" s="26"/>
      <c r="C907" s="26"/>
      <c r="D907" s="26"/>
      <c r="E907" s="26"/>
      <c r="F907" s="26"/>
      <c r="G907" s="26"/>
      <c r="H907" s="24"/>
      <c r="I907" s="27"/>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c r="BA907" s="24"/>
      <c r="BB907" s="24"/>
      <c r="BC907" s="24"/>
      <c r="BD907" s="24"/>
      <c r="BE907" s="24"/>
      <c r="BF907" s="24"/>
      <c r="BG907" s="24"/>
      <c r="BH907" s="24"/>
      <c r="BI907" s="24"/>
      <c r="BJ907" s="24"/>
      <c r="BK907" s="24"/>
      <c r="BL907" s="24"/>
      <c r="BM907" s="24"/>
      <c r="BN907" s="24"/>
      <c r="BO907" s="24"/>
      <c r="BP907" s="24"/>
      <c r="BQ907" s="24"/>
      <c r="BR907" s="24"/>
      <c r="BS907" s="24"/>
      <c r="BT907" s="24"/>
      <c r="BU907" s="24"/>
      <c r="BV907" s="24"/>
      <c r="BW907" s="24"/>
      <c r="BX907" s="24"/>
      <c r="BY907" s="24"/>
      <c r="BZ907" s="24"/>
      <c r="CA907" s="24"/>
      <c r="CB907" s="24"/>
      <c r="CC907" s="24"/>
      <c r="CD907" s="24"/>
    </row>
    <row r="908" spans="2:82" ht="16.5" customHeight="1" x14ac:dyDescent="0.3">
      <c r="B908" s="26"/>
      <c r="C908" s="26"/>
      <c r="D908" s="26"/>
      <c r="E908" s="26"/>
      <c r="F908" s="26"/>
      <c r="G908" s="26"/>
      <c r="H908" s="24"/>
      <c r="I908" s="27"/>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c r="BA908" s="24"/>
      <c r="BB908" s="24"/>
      <c r="BC908" s="24"/>
      <c r="BD908" s="24"/>
      <c r="BE908" s="24"/>
      <c r="BF908" s="24"/>
      <c r="BG908" s="24"/>
      <c r="BH908" s="24"/>
      <c r="BI908" s="24"/>
      <c r="BJ908" s="24"/>
      <c r="BK908" s="24"/>
      <c r="BL908" s="24"/>
      <c r="BM908" s="24"/>
      <c r="BN908" s="24"/>
      <c r="BO908" s="24"/>
      <c r="BP908" s="24"/>
      <c r="BQ908" s="24"/>
      <c r="BR908" s="24"/>
      <c r="BS908" s="24"/>
      <c r="BT908" s="24"/>
      <c r="BU908" s="24"/>
      <c r="BV908" s="24"/>
      <c r="BW908" s="24"/>
      <c r="BX908" s="24"/>
      <c r="BY908" s="24"/>
      <c r="BZ908" s="24"/>
      <c r="CA908" s="24"/>
      <c r="CB908" s="24"/>
      <c r="CC908" s="24"/>
      <c r="CD908" s="24"/>
    </row>
    <row r="909" spans="2:82" ht="16.5" customHeight="1" x14ac:dyDescent="0.3">
      <c r="B909" s="26"/>
      <c r="C909" s="26"/>
      <c r="D909" s="26"/>
      <c r="E909" s="26"/>
      <c r="F909" s="26"/>
      <c r="G909" s="26"/>
      <c r="H909" s="24"/>
      <c r="I909" s="27"/>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c r="BA909" s="24"/>
      <c r="BB909" s="24"/>
      <c r="BC909" s="24"/>
      <c r="BD909" s="24"/>
      <c r="BE909" s="24"/>
      <c r="BF909" s="24"/>
      <c r="BG909" s="24"/>
      <c r="BH909" s="24"/>
      <c r="BI909" s="24"/>
      <c r="BJ909" s="24"/>
      <c r="BK909" s="24"/>
      <c r="BL909" s="24"/>
      <c r="BM909" s="24"/>
      <c r="BN909" s="24"/>
      <c r="BO909" s="24"/>
      <c r="BP909" s="24"/>
      <c r="BQ909" s="24"/>
      <c r="BR909" s="24"/>
      <c r="BS909" s="24"/>
      <c r="BT909" s="24"/>
      <c r="BU909" s="24"/>
      <c r="BV909" s="24"/>
      <c r="BW909" s="24"/>
      <c r="BX909" s="24"/>
      <c r="BY909" s="24"/>
      <c r="BZ909" s="24"/>
      <c r="CA909" s="24"/>
      <c r="CB909" s="24"/>
      <c r="CC909" s="24"/>
      <c r="CD909" s="24"/>
    </row>
    <row r="910" spans="2:82" ht="16.5" customHeight="1" x14ac:dyDescent="0.3">
      <c r="B910" s="26"/>
      <c r="C910" s="26"/>
      <c r="D910" s="26"/>
      <c r="E910" s="26"/>
      <c r="F910" s="26"/>
      <c r="G910" s="26"/>
      <c r="H910" s="24"/>
      <c r="I910" s="27"/>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c r="BA910" s="24"/>
      <c r="BB910" s="24"/>
      <c r="BC910" s="24"/>
      <c r="BD910" s="24"/>
      <c r="BE910" s="24"/>
      <c r="BF910" s="24"/>
      <c r="BG910" s="24"/>
      <c r="BH910" s="24"/>
      <c r="BI910" s="24"/>
      <c r="BJ910" s="24"/>
      <c r="BK910" s="24"/>
      <c r="BL910" s="24"/>
      <c r="BM910" s="24"/>
      <c r="BN910" s="24"/>
      <c r="BO910" s="24"/>
      <c r="BP910" s="24"/>
      <c r="BQ910" s="24"/>
      <c r="BR910" s="24"/>
      <c r="BS910" s="24"/>
      <c r="BT910" s="24"/>
      <c r="BU910" s="24"/>
      <c r="BV910" s="24"/>
      <c r="BW910" s="24"/>
      <c r="BX910" s="24"/>
      <c r="BY910" s="24"/>
      <c r="BZ910" s="24"/>
      <c r="CA910" s="24"/>
      <c r="CB910" s="24"/>
      <c r="CC910" s="24"/>
      <c r="CD910" s="24"/>
    </row>
    <row r="911" spans="2:82" ht="16.5" customHeight="1" x14ac:dyDescent="0.3">
      <c r="B911" s="26"/>
      <c r="C911" s="26"/>
      <c r="D911" s="26"/>
      <c r="E911" s="26"/>
      <c r="F911" s="26"/>
      <c r="G911" s="26"/>
      <c r="H911" s="24"/>
      <c r="I911" s="27"/>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c r="BA911" s="24"/>
      <c r="BB911" s="24"/>
      <c r="BC911" s="24"/>
      <c r="BD911" s="24"/>
      <c r="BE911" s="24"/>
      <c r="BF911" s="24"/>
      <c r="BG911" s="24"/>
      <c r="BH911" s="24"/>
      <c r="BI911" s="24"/>
      <c r="BJ911" s="24"/>
      <c r="BK911" s="24"/>
      <c r="BL911" s="24"/>
      <c r="BM911" s="24"/>
      <c r="BN911" s="24"/>
      <c r="BO911" s="24"/>
      <c r="BP911" s="24"/>
      <c r="BQ911" s="24"/>
      <c r="BR911" s="24"/>
      <c r="BS911" s="24"/>
      <c r="BT911" s="24"/>
      <c r="BU911" s="24"/>
      <c r="BV911" s="24"/>
      <c r="BW911" s="24"/>
      <c r="BX911" s="24"/>
      <c r="BY911" s="24"/>
      <c r="BZ911" s="24"/>
      <c r="CA911" s="24"/>
      <c r="CB911" s="24"/>
      <c r="CC911" s="24"/>
      <c r="CD911" s="24"/>
    </row>
    <row r="912" spans="2:82" ht="16.5" customHeight="1" x14ac:dyDescent="0.3">
      <c r="B912" s="26"/>
      <c r="C912" s="26"/>
      <c r="D912" s="26"/>
      <c r="E912" s="26"/>
      <c r="F912" s="26"/>
      <c r="G912" s="26"/>
      <c r="H912" s="24"/>
      <c r="I912" s="27"/>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c r="BA912" s="24"/>
      <c r="BB912" s="24"/>
      <c r="BC912" s="24"/>
      <c r="BD912" s="24"/>
      <c r="BE912" s="24"/>
      <c r="BF912" s="24"/>
      <c r="BG912" s="24"/>
      <c r="BH912" s="24"/>
      <c r="BI912" s="24"/>
      <c r="BJ912" s="24"/>
      <c r="BK912" s="24"/>
      <c r="BL912" s="24"/>
      <c r="BM912" s="24"/>
      <c r="BN912" s="24"/>
      <c r="BO912" s="24"/>
      <c r="BP912" s="24"/>
      <c r="BQ912" s="24"/>
      <c r="BR912" s="24"/>
      <c r="BS912" s="24"/>
      <c r="BT912" s="24"/>
      <c r="BU912" s="24"/>
      <c r="BV912" s="24"/>
      <c r="BW912" s="24"/>
      <c r="BX912" s="24"/>
      <c r="BY912" s="24"/>
      <c r="BZ912" s="24"/>
      <c r="CA912" s="24"/>
      <c r="CB912" s="24"/>
      <c r="CC912" s="24"/>
      <c r="CD912" s="24"/>
    </row>
    <row r="913" spans="2:82" ht="16.5" customHeight="1" x14ac:dyDescent="0.3">
      <c r="B913" s="26"/>
      <c r="C913" s="26"/>
      <c r="D913" s="26"/>
      <c r="E913" s="26"/>
      <c r="F913" s="26"/>
      <c r="G913" s="26"/>
      <c r="H913" s="24"/>
      <c r="I913" s="27"/>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c r="BA913" s="24"/>
      <c r="BB913" s="24"/>
      <c r="BC913" s="24"/>
      <c r="BD913" s="24"/>
      <c r="BE913" s="24"/>
      <c r="BF913" s="24"/>
      <c r="BG913" s="24"/>
      <c r="BH913" s="24"/>
      <c r="BI913" s="24"/>
      <c r="BJ913" s="24"/>
      <c r="BK913" s="24"/>
      <c r="BL913" s="24"/>
      <c r="BM913" s="24"/>
      <c r="BN913" s="24"/>
      <c r="BO913" s="24"/>
      <c r="BP913" s="24"/>
      <c r="BQ913" s="24"/>
      <c r="BR913" s="24"/>
      <c r="BS913" s="24"/>
      <c r="BT913" s="24"/>
      <c r="BU913" s="24"/>
      <c r="BV913" s="24"/>
      <c r="BW913" s="24"/>
      <c r="BX913" s="24"/>
      <c r="BY913" s="24"/>
      <c r="BZ913" s="24"/>
      <c r="CA913" s="24"/>
      <c r="CB913" s="24"/>
      <c r="CC913" s="24"/>
      <c r="CD913" s="24"/>
    </row>
    <row r="914" spans="2:82" ht="16.5" customHeight="1" x14ac:dyDescent="0.3">
      <c r="B914" s="26"/>
      <c r="C914" s="26"/>
      <c r="D914" s="26"/>
      <c r="E914" s="26"/>
      <c r="F914" s="26"/>
      <c r="G914" s="26"/>
      <c r="H914" s="24"/>
      <c r="I914" s="27"/>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c r="BA914" s="24"/>
      <c r="BB914" s="24"/>
      <c r="BC914" s="24"/>
      <c r="BD914" s="24"/>
      <c r="BE914" s="24"/>
      <c r="BF914" s="24"/>
      <c r="BG914" s="24"/>
      <c r="BH914" s="24"/>
      <c r="BI914" s="24"/>
      <c r="BJ914" s="24"/>
      <c r="BK914" s="24"/>
      <c r="BL914" s="24"/>
      <c r="BM914" s="24"/>
      <c r="BN914" s="24"/>
      <c r="BO914" s="24"/>
      <c r="BP914" s="24"/>
      <c r="BQ914" s="24"/>
      <c r="BR914" s="24"/>
      <c r="BS914" s="24"/>
      <c r="BT914" s="24"/>
      <c r="BU914" s="24"/>
      <c r="BV914" s="24"/>
      <c r="BW914" s="24"/>
      <c r="BX914" s="24"/>
      <c r="BY914" s="24"/>
      <c r="BZ914" s="24"/>
      <c r="CA914" s="24"/>
      <c r="CB914" s="24"/>
      <c r="CC914" s="24"/>
      <c r="CD914" s="24"/>
    </row>
    <row r="915" spans="2:82" ht="16.5" customHeight="1" x14ac:dyDescent="0.3">
      <c r="B915" s="26"/>
      <c r="C915" s="26"/>
      <c r="D915" s="26"/>
      <c r="E915" s="26"/>
      <c r="F915" s="26"/>
      <c r="G915" s="26"/>
      <c r="H915" s="24"/>
      <c r="I915" s="27"/>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c r="BA915" s="24"/>
      <c r="BB915" s="24"/>
      <c r="BC915" s="24"/>
      <c r="BD915" s="24"/>
      <c r="BE915" s="24"/>
      <c r="BF915" s="24"/>
      <c r="BG915" s="24"/>
      <c r="BH915" s="24"/>
      <c r="BI915" s="24"/>
      <c r="BJ915" s="24"/>
      <c r="BK915" s="24"/>
      <c r="BL915" s="24"/>
      <c r="BM915" s="24"/>
      <c r="BN915" s="24"/>
      <c r="BO915" s="24"/>
      <c r="BP915" s="24"/>
      <c r="BQ915" s="24"/>
      <c r="BR915" s="24"/>
      <c r="BS915" s="24"/>
      <c r="BT915" s="24"/>
      <c r="BU915" s="24"/>
      <c r="BV915" s="24"/>
      <c r="BW915" s="24"/>
      <c r="BX915" s="24"/>
      <c r="BY915" s="24"/>
      <c r="BZ915" s="24"/>
      <c r="CA915" s="24"/>
      <c r="CB915" s="24"/>
      <c r="CC915" s="24"/>
      <c r="CD915" s="24"/>
    </row>
    <row r="916" spans="2:82" ht="16.5" customHeight="1" x14ac:dyDescent="0.3">
      <c r="B916" s="26"/>
      <c r="C916" s="26"/>
      <c r="D916" s="26"/>
      <c r="E916" s="26"/>
      <c r="F916" s="26"/>
      <c r="G916" s="26"/>
      <c r="H916" s="24"/>
      <c r="I916" s="27"/>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c r="BA916" s="24"/>
      <c r="BB916" s="24"/>
      <c r="BC916" s="24"/>
      <c r="BD916" s="24"/>
      <c r="BE916" s="24"/>
      <c r="BF916" s="24"/>
      <c r="BG916" s="24"/>
      <c r="BH916" s="24"/>
      <c r="BI916" s="24"/>
      <c r="BJ916" s="24"/>
      <c r="BK916" s="24"/>
      <c r="BL916" s="24"/>
      <c r="BM916" s="24"/>
      <c r="BN916" s="24"/>
      <c r="BO916" s="24"/>
      <c r="BP916" s="24"/>
      <c r="BQ916" s="24"/>
      <c r="BR916" s="24"/>
      <c r="BS916" s="24"/>
      <c r="BT916" s="24"/>
      <c r="BU916" s="24"/>
      <c r="BV916" s="24"/>
      <c r="BW916" s="24"/>
      <c r="BX916" s="24"/>
      <c r="BY916" s="24"/>
      <c r="BZ916" s="24"/>
      <c r="CA916" s="24"/>
      <c r="CB916" s="24"/>
      <c r="CC916" s="24"/>
      <c r="CD916" s="24"/>
    </row>
    <row r="917" spans="2:82" ht="16.5" customHeight="1" x14ac:dyDescent="0.3">
      <c r="B917" s="26"/>
      <c r="C917" s="26"/>
      <c r="D917" s="26"/>
      <c r="E917" s="26"/>
      <c r="F917" s="26"/>
      <c r="G917" s="26"/>
      <c r="H917" s="24"/>
      <c r="I917" s="27"/>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c r="BA917" s="24"/>
      <c r="BB917" s="24"/>
      <c r="BC917" s="24"/>
      <c r="BD917" s="24"/>
      <c r="BE917" s="24"/>
      <c r="BF917" s="24"/>
      <c r="BG917" s="24"/>
      <c r="BH917" s="24"/>
      <c r="BI917" s="24"/>
      <c r="BJ917" s="24"/>
      <c r="BK917" s="24"/>
      <c r="BL917" s="24"/>
      <c r="BM917" s="24"/>
      <c r="BN917" s="24"/>
      <c r="BO917" s="24"/>
      <c r="BP917" s="24"/>
      <c r="BQ917" s="24"/>
      <c r="BR917" s="24"/>
      <c r="BS917" s="24"/>
      <c r="BT917" s="24"/>
      <c r="BU917" s="24"/>
      <c r="BV917" s="24"/>
      <c r="BW917" s="24"/>
      <c r="BX917" s="24"/>
      <c r="BY917" s="24"/>
      <c r="BZ917" s="24"/>
      <c r="CA917" s="24"/>
      <c r="CB917" s="24"/>
      <c r="CC917" s="24"/>
      <c r="CD917" s="24"/>
    </row>
    <row r="918" spans="2:82" ht="16.5" customHeight="1" x14ac:dyDescent="0.3">
      <c r="B918" s="26"/>
      <c r="C918" s="26"/>
      <c r="D918" s="26"/>
      <c r="E918" s="26"/>
      <c r="F918" s="26"/>
      <c r="G918" s="26"/>
      <c r="H918" s="24"/>
      <c r="I918" s="27"/>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c r="BA918" s="24"/>
      <c r="BB918" s="24"/>
      <c r="BC918" s="24"/>
      <c r="BD918" s="24"/>
      <c r="BE918" s="24"/>
      <c r="BF918" s="24"/>
      <c r="BG918" s="24"/>
      <c r="BH918" s="24"/>
      <c r="BI918" s="24"/>
      <c r="BJ918" s="24"/>
      <c r="BK918" s="24"/>
      <c r="BL918" s="24"/>
      <c r="BM918" s="24"/>
      <c r="BN918" s="24"/>
      <c r="BO918" s="24"/>
      <c r="BP918" s="24"/>
      <c r="BQ918" s="24"/>
      <c r="BR918" s="24"/>
      <c r="BS918" s="24"/>
      <c r="BT918" s="24"/>
      <c r="BU918" s="24"/>
      <c r="BV918" s="24"/>
      <c r="BW918" s="24"/>
      <c r="BX918" s="24"/>
      <c r="BY918" s="24"/>
      <c r="BZ918" s="24"/>
      <c r="CA918" s="24"/>
      <c r="CB918" s="24"/>
      <c r="CC918" s="24"/>
      <c r="CD918" s="24"/>
    </row>
    <row r="919" spans="2:82" ht="16.5" customHeight="1" x14ac:dyDescent="0.3">
      <c r="B919" s="26"/>
      <c r="C919" s="26"/>
      <c r="D919" s="26"/>
      <c r="E919" s="26"/>
      <c r="F919" s="26"/>
      <c r="G919" s="26"/>
      <c r="H919" s="24"/>
      <c r="I919" s="27"/>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c r="BA919" s="24"/>
      <c r="BB919" s="24"/>
      <c r="BC919" s="24"/>
      <c r="BD919" s="24"/>
      <c r="BE919" s="24"/>
      <c r="BF919" s="24"/>
      <c r="BG919" s="24"/>
      <c r="BH919" s="24"/>
      <c r="BI919" s="24"/>
      <c r="BJ919" s="24"/>
      <c r="BK919" s="24"/>
      <c r="BL919" s="24"/>
      <c r="BM919" s="24"/>
      <c r="BN919" s="24"/>
      <c r="BO919" s="24"/>
      <c r="BP919" s="24"/>
      <c r="BQ919" s="24"/>
      <c r="BR919" s="24"/>
      <c r="BS919" s="24"/>
      <c r="BT919" s="24"/>
      <c r="BU919" s="24"/>
      <c r="BV919" s="24"/>
      <c r="BW919" s="24"/>
      <c r="BX919" s="24"/>
      <c r="BY919" s="24"/>
      <c r="BZ919" s="24"/>
      <c r="CA919" s="24"/>
      <c r="CB919" s="24"/>
      <c r="CC919" s="24"/>
      <c r="CD919" s="24"/>
    </row>
    <row r="920" spans="2:82" ht="16.5" customHeight="1" x14ac:dyDescent="0.3">
      <c r="B920" s="26"/>
      <c r="C920" s="26"/>
      <c r="D920" s="26"/>
      <c r="E920" s="26"/>
      <c r="F920" s="26"/>
      <c r="G920" s="26"/>
      <c r="H920" s="24"/>
      <c r="I920" s="27"/>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c r="BA920" s="24"/>
      <c r="BB920" s="24"/>
      <c r="BC920" s="24"/>
      <c r="BD920" s="24"/>
      <c r="BE920" s="24"/>
      <c r="BF920" s="24"/>
      <c r="BG920" s="24"/>
      <c r="BH920" s="24"/>
      <c r="BI920" s="24"/>
      <c r="BJ920" s="24"/>
      <c r="BK920" s="24"/>
      <c r="BL920" s="24"/>
      <c r="BM920" s="24"/>
      <c r="BN920" s="24"/>
      <c r="BO920" s="24"/>
      <c r="BP920" s="24"/>
      <c r="BQ920" s="24"/>
      <c r="BR920" s="24"/>
      <c r="BS920" s="24"/>
      <c r="BT920" s="24"/>
      <c r="BU920" s="24"/>
      <c r="BV920" s="24"/>
      <c r="BW920" s="24"/>
      <c r="BX920" s="24"/>
      <c r="BY920" s="24"/>
      <c r="BZ920" s="24"/>
      <c r="CA920" s="24"/>
      <c r="CB920" s="24"/>
      <c r="CC920" s="24"/>
      <c r="CD920" s="24"/>
    </row>
    <row r="921" spans="2:82" ht="16.5" customHeight="1" x14ac:dyDescent="0.3">
      <c r="B921" s="26"/>
      <c r="C921" s="26"/>
      <c r="D921" s="26"/>
      <c r="E921" s="26"/>
      <c r="F921" s="26"/>
      <c r="G921" s="26"/>
      <c r="H921" s="24"/>
      <c r="I921" s="27"/>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c r="BC921" s="24"/>
      <c r="BD921" s="24"/>
      <c r="BE921" s="24"/>
      <c r="BF921" s="24"/>
      <c r="BG921" s="24"/>
      <c r="BH921" s="24"/>
      <c r="BI921" s="24"/>
      <c r="BJ921" s="24"/>
      <c r="BK921" s="24"/>
      <c r="BL921" s="24"/>
      <c r="BM921" s="24"/>
      <c r="BN921" s="24"/>
      <c r="BO921" s="24"/>
      <c r="BP921" s="24"/>
      <c r="BQ921" s="24"/>
      <c r="BR921" s="24"/>
      <c r="BS921" s="24"/>
      <c r="BT921" s="24"/>
      <c r="BU921" s="24"/>
      <c r="BV921" s="24"/>
      <c r="BW921" s="24"/>
      <c r="BX921" s="24"/>
      <c r="BY921" s="24"/>
      <c r="BZ921" s="24"/>
      <c r="CA921" s="24"/>
      <c r="CB921" s="24"/>
      <c r="CC921" s="24"/>
      <c r="CD921" s="24"/>
    </row>
    <row r="922" spans="2:82" ht="16.5" customHeight="1" x14ac:dyDescent="0.3">
      <c r="B922" s="26"/>
      <c r="C922" s="26"/>
      <c r="D922" s="26"/>
      <c r="E922" s="26"/>
      <c r="F922" s="26"/>
      <c r="G922" s="26"/>
      <c r="H922" s="24"/>
      <c r="I922" s="27"/>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c r="BC922" s="24"/>
      <c r="BD922" s="24"/>
      <c r="BE922" s="24"/>
      <c r="BF922" s="24"/>
      <c r="BG922" s="24"/>
      <c r="BH922" s="24"/>
      <c r="BI922" s="24"/>
      <c r="BJ922" s="24"/>
      <c r="BK922" s="24"/>
      <c r="BL922" s="24"/>
      <c r="BM922" s="24"/>
      <c r="BN922" s="24"/>
      <c r="BO922" s="24"/>
      <c r="BP922" s="24"/>
      <c r="BQ922" s="24"/>
      <c r="BR922" s="24"/>
      <c r="BS922" s="24"/>
      <c r="BT922" s="24"/>
      <c r="BU922" s="24"/>
      <c r="BV922" s="24"/>
      <c r="BW922" s="24"/>
      <c r="BX922" s="24"/>
      <c r="BY922" s="24"/>
      <c r="BZ922" s="24"/>
      <c r="CA922" s="24"/>
      <c r="CB922" s="24"/>
      <c r="CC922" s="24"/>
      <c r="CD922" s="24"/>
    </row>
    <row r="923" spans="2:82" ht="16.5" customHeight="1" x14ac:dyDescent="0.3">
      <c r="B923" s="26"/>
      <c r="C923" s="26"/>
      <c r="D923" s="26"/>
      <c r="E923" s="26"/>
      <c r="F923" s="26"/>
      <c r="G923" s="26"/>
      <c r="H923" s="24"/>
      <c r="I923" s="27"/>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C923" s="24"/>
      <c r="BD923" s="24"/>
      <c r="BE923" s="24"/>
      <c r="BF923" s="24"/>
      <c r="BG923" s="24"/>
      <c r="BH923" s="24"/>
      <c r="BI923" s="24"/>
      <c r="BJ923" s="24"/>
      <c r="BK923" s="24"/>
      <c r="BL923" s="24"/>
      <c r="BM923" s="24"/>
      <c r="BN923" s="24"/>
      <c r="BO923" s="24"/>
      <c r="BP923" s="24"/>
      <c r="BQ923" s="24"/>
      <c r="BR923" s="24"/>
      <c r="BS923" s="24"/>
      <c r="BT923" s="24"/>
      <c r="BU923" s="24"/>
      <c r="BV923" s="24"/>
      <c r="BW923" s="24"/>
      <c r="BX923" s="24"/>
      <c r="BY923" s="24"/>
      <c r="BZ923" s="24"/>
      <c r="CA923" s="24"/>
      <c r="CB923" s="24"/>
      <c r="CC923" s="24"/>
      <c r="CD923" s="24"/>
    </row>
    <row r="924" spans="2:82" ht="16.5" customHeight="1" x14ac:dyDescent="0.3">
      <c r="B924" s="26"/>
      <c r="C924" s="26"/>
      <c r="D924" s="26"/>
      <c r="E924" s="26"/>
      <c r="F924" s="26"/>
      <c r="G924" s="26"/>
      <c r="H924" s="24"/>
      <c r="I924" s="27"/>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c r="BC924" s="24"/>
      <c r="BD924" s="24"/>
      <c r="BE924" s="24"/>
      <c r="BF924" s="24"/>
      <c r="BG924" s="24"/>
      <c r="BH924" s="24"/>
      <c r="BI924" s="24"/>
      <c r="BJ924" s="24"/>
      <c r="BK924" s="24"/>
      <c r="BL924" s="24"/>
      <c r="BM924" s="24"/>
      <c r="BN924" s="24"/>
      <c r="BO924" s="24"/>
      <c r="BP924" s="24"/>
      <c r="BQ924" s="24"/>
      <c r="BR924" s="24"/>
      <c r="BS924" s="24"/>
      <c r="BT924" s="24"/>
      <c r="BU924" s="24"/>
      <c r="BV924" s="24"/>
      <c r="BW924" s="24"/>
      <c r="BX924" s="24"/>
      <c r="BY924" s="24"/>
      <c r="BZ924" s="24"/>
      <c r="CA924" s="24"/>
      <c r="CB924" s="24"/>
      <c r="CC924" s="24"/>
      <c r="CD924" s="24"/>
    </row>
    <row r="925" spans="2:82" ht="16.5" customHeight="1" x14ac:dyDescent="0.3">
      <c r="B925" s="26"/>
      <c r="C925" s="26"/>
      <c r="D925" s="26"/>
      <c r="E925" s="26"/>
      <c r="F925" s="26"/>
      <c r="G925" s="26"/>
      <c r="H925" s="24"/>
      <c r="I925" s="27"/>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c r="BC925" s="24"/>
      <c r="BD925" s="24"/>
      <c r="BE925" s="24"/>
      <c r="BF925" s="24"/>
      <c r="BG925" s="24"/>
      <c r="BH925" s="24"/>
      <c r="BI925" s="24"/>
      <c r="BJ925" s="24"/>
      <c r="BK925" s="24"/>
      <c r="BL925" s="24"/>
      <c r="BM925" s="24"/>
      <c r="BN925" s="24"/>
      <c r="BO925" s="24"/>
      <c r="BP925" s="24"/>
      <c r="BQ925" s="24"/>
      <c r="BR925" s="24"/>
      <c r="BS925" s="24"/>
      <c r="BT925" s="24"/>
      <c r="BU925" s="24"/>
      <c r="BV925" s="24"/>
      <c r="BW925" s="24"/>
      <c r="BX925" s="24"/>
      <c r="BY925" s="24"/>
      <c r="BZ925" s="24"/>
      <c r="CA925" s="24"/>
      <c r="CB925" s="24"/>
      <c r="CC925" s="24"/>
      <c r="CD925" s="24"/>
    </row>
    <row r="926" spans="2:82" ht="16.5" customHeight="1" x14ac:dyDescent="0.3">
      <c r="B926" s="26"/>
      <c r="C926" s="26"/>
      <c r="D926" s="26"/>
      <c r="E926" s="26"/>
      <c r="F926" s="26"/>
      <c r="G926" s="26"/>
      <c r="H926" s="24"/>
      <c r="I926" s="27"/>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c r="BC926" s="24"/>
      <c r="BD926" s="24"/>
      <c r="BE926" s="24"/>
      <c r="BF926" s="24"/>
      <c r="BG926" s="24"/>
      <c r="BH926" s="24"/>
      <c r="BI926" s="24"/>
      <c r="BJ926" s="24"/>
      <c r="BK926" s="24"/>
      <c r="BL926" s="24"/>
      <c r="BM926" s="24"/>
      <c r="BN926" s="24"/>
      <c r="BO926" s="24"/>
      <c r="BP926" s="24"/>
      <c r="BQ926" s="24"/>
      <c r="BR926" s="24"/>
      <c r="BS926" s="24"/>
      <c r="BT926" s="24"/>
      <c r="BU926" s="24"/>
      <c r="BV926" s="24"/>
      <c r="BW926" s="24"/>
      <c r="BX926" s="24"/>
      <c r="BY926" s="24"/>
      <c r="BZ926" s="24"/>
      <c r="CA926" s="24"/>
      <c r="CB926" s="24"/>
      <c r="CC926" s="24"/>
      <c r="CD926" s="24"/>
    </row>
    <row r="927" spans="2:82" ht="16.5" customHeight="1" x14ac:dyDescent="0.3">
      <c r="B927" s="26"/>
      <c r="C927" s="26"/>
      <c r="D927" s="26"/>
      <c r="E927" s="26"/>
      <c r="F927" s="26"/>
      <c r="G927" s="26"/>
      <c r="H927" s="24"/>
      <c r="I927" s="27"/>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c r="BC927" s="24"/>
      <c r="BD927" s="24"/>
      <c r="BE927" s="24"/>
      <c r="BF927" s="24"/>
      <c r="BG927" s="24"/>
      <c r="BH927" s="24"/>
      <c r="BI927" s="24"/>
      <c r="BJ927" s="24"/>
      <c r="BK927" s="24"/>
      <c r="BL927" s="24"/>
      <c r="BM927" s="24"/>
      <c r="BN927" s="24"/>
      <c r="BO927" s="24"/>
      <c r="BP927" s="24"/>
      <c r="BQ927" s="24"/>
      <c r="BR927" s="24"/>
      <c r="BS927" s="24"/>
      <c r="BT927" s="24"/>
      <c r="BU927" s="24"/>
      <c r="BV927" s="24"/>
      <c r="BW927" s="24"/>
      <c r="BX927" s="24"/>
      <c r="BY927" s="24"/>
      <c r="BZ927" s="24"/>
      <c r="CA927" s="24"/>
      <c r="CB927" s="24"/>
      <c r="CC927" s="24"/>
      <c r="CD927" s="24"/>
    </row>
    <row r="928" spans="2:82" ht="16.5" customHeight="1" x14ac:dyDescent="0.3">
      <c r="B928" s="26"/>
      <c r="C928" s="26"/>
      <c r="D928" s="26"/>
      <c r="E928" s="26"/>
      <c r="F928" s="26"/>
      <c r="G928" s="26"/>
      <c r="H928" s="24"/>
      <c r="I928" s="27"/>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c r="BC928" s="24"/>
      <c r="BD928" s="24"/>
      <c r="BE928" s="24"/>
      <c r="BF928" s="24"/>
      <c r="BG928" s="24"/>
      <c r="BH928" s="24"/>
      <c r="BI928" s="24"/>
      <c r="BJ928" s="24"/>
      <c r="BK928" s="24"/>
      <c r="BL928" s="24"/>
      <c r="BM928" s="24"/>
      <c r="BN928" s="24"/>
      <c r="BO928" s="24"/>
      <c r="BP928" s="24"/>
      <c r="BQ928" s="24"/>
      <c r="BR928" s="24"/>
      <c r="BS928" s="24"/>
      <c r="BT928" s="24"/>
      <c r="BU928" s="24"/>
      <c r="BV928" s="24"/>
      <c r="BW928" s="24"/>
      <c r="BX928" s="24"/>
      <c r="BY928" s="24"/>
      <c r="BZ928" s="24"/>
      <c r="CA928" s="24"/>
      <c r="CB928" s="24"/>
      <c r="CC928" s="24"/>
      <c r="CD928" s="24"/>
    </row>
    <row r="929" spans="2:82" ht="16.5" customHeight="1" x14ac:dyDescent="0.3">
      <c r="B929" s="26"/>
      <c r="C929" s="26"/>
      <c r="D929" s="26"/>
      <c r="E929" s="26"/>
      <c r="F929" s="26"/>
      <c r="G929" s="26"/>
      <c r="H929" s="24"/>
      <c r="I929" s="27"/>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c r="BC929" s="24"/>
      <c r="BD929" s="24"/>
      <c r="BE929" s="24"/>
      <c r="BF929" s="24"/>
      <c r="BG929" s="24"/>
      <c r="BH929" s="24"/>
      <c r="BI929" s="24"/>
      <c r="BJ929" s="24"/>
      <c r="BK929" s="24"/>
      <c r="BL929" s="24"/>
      <c r="BM929" s="24"/>
      <c r="BN929" s="24"/>
      <c r="BO929" s="24"/>
      <c r="BP929" s="24"/>
      <c r="BQ929" s="24"/>
      <c r="BR929" s="24"/>
      <c r="BS929" s="24"/>
      <c r="BT929" s="24"/>
      <c r="BU929" s="24"/>
      <c r="BV929" s="24"/>
      <c r="BW929" s="24"/>
      <c r="BX929" s="24"/>
      <c r="BY929" s="24"/>
      <c r="BZ929" s="24"/>
      <c r="CA929" s="24"/>
      <c r="CB929" s="24"/>
      <c r="CC929" s="24"/>
      <c r="CD929" s="24"/>
    </row>
    <row r="930" spans="2:82" ht="16.5" customHeight="1" x14ac:dyDescent="0.3">
      <c r="B930" s="26"/>
      <c r="C930" s="26"/>
      <c r="D930" s="26"/>
      <c r="E930" s="26"/>
      <c r="F930" s="26"/>
      <c r="G930" s="26"/>
      <c r="H930" s="24"/>
      <c r="I930" s="27"/>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c r="BC930" s="24"/>
      <c r="BD930" s="24"/>
      <c r="BE930" s="24"/>
      <c r="BF930" s="24"/>
      <c r="BG930" s="24"/>
      <c r="BH930" s="24"/>
      <c r="BI930" s="24"/>
      <c r="BJ930" s="24"/>
      <c r="BK930" s="24"/>
      <c r="BL930" s="24"/>
      <c r="BM930" s="24"/>
      <c r="BN930" s="24"/>
      <c r="BO930" s="24"/>
      <c r="BP930" s="24"/>
      <c r="BQ930" s="24"/>
      <c r="BR930" s="24"/>
      <c r="BS930" s="24"/>
      <c r="BT930" s="24"/>
      <c r="BU930" s="24"/>
      <c r="BV930" s="24"/>
      <c r="BW930" s="24"/>
      <c r="BX930" s="24"/>
      <c r="BY930" s="24"/>
      <c r="BZ930" s="24"/>
      <c r="CA930" s="24"/>
      <c r="CB930" s="24"/>
      <c r="CC930" s="24"/>
      <c r="CD930" s="24"/>
    </row>
    <row r="931" spans="2:82" ht="16.5" customHeight="1" x14ac:dyDescent="0.3">
      <c r="B931" s="26"/>
      <c r="C931" s="26"/>
      <c r="D931" s="26"/>
      <c r="E931" s="26"/>
      <c r="F931" s="26"/>
      <c r="G931" s="26"/>
      <c r="H931" s="24"/>
      <c r="I931" s="27"/>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c r="BC931" s="24"/>
      <c r="BD931" s="24"/>
      <c r="BE931" s="24"/>
      <c r="BF931" s="24"/>
      <c r="BG931" s="24"/>
      <c r="BH931" s="24"/>
      <c r="BI931" s="24"/>
      <c r="BJ931" s="24"/>
      <c r="BK931" s="24"/>
      <c r="BL931" s="24"/>
      <c r="BM931" s="24"/>
      <c r="BN931" s="24"/>
      <c r="BO931" s="24"/>
      <c r="BP931" s="24"/>
      <c r="BQ931" s="24"/>
      <c r="BR931" s="24"/>
      <c r="BS931" s="24"/>
      <c r="BT931" s="24"/>
      <c r="BU931" s="24"/>
      <c r="BV931" s="24"/>
      <c r="BW931" s="24"/>
      <c r="BX931" s="24"/>
      <c r="BY931" s="24"/>
      <c r="BZ931" s="24"/>
      <c r="CA931" s="24"/>
      <c r="CB931" s="24"/>
      <c r="CC931" s="24"/>
      <c r="CD931" s="24"/>
    </row>
    <row r="932" spans="2:82" ht="16.5" customHeight="1" x14ac:dyDescent="0.3">
      <c r="B932" s="26"/>
      <c r="C932" s="26"/>
      <c r="D932" s="26"/>
      <c r="E932" s="26"/>
      <c r="F932" s="26"/>
      <c r="G932" s="26"/>
      <c r="H932" s="24"/>
      <c r="I932" s="27"/>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c r="BC932" s="24"/>
      <c r="BD932" s="24"/>
      <c r="BE932" s="24"/>
      <c r="BF932" s="24"/>
      <c r="BG932" s="24"/>
      <c r="BH932" s="24"/>
      <c r="BI932" s="24"/>
      <c r="BJ932" s="24"/>
      <c r="BK932" s="24"/>
      <c r="BL932" s="24"/>
      <c r="BM932" s="24"/>
      <c r="BN932" s="24"/>
      <c r="BO932" s="24"/>
      <c r="BP932" s="24"/>
      <c r="BQ932" s="24"/>
      <c r="BR932" s="24"/>
      <c r="BS932" s="24"/>
      <c r="BT932" s="24"/>
      <c r="BU932" s="24"/>
      <c r="BV932" s="24"/>
      <c r="BW932" s="24"/>
      <c r="BX932" s="24"/>
      <c r="BY932" s="24"/>
      <c r="BZ932" s="24"/>
      <c r="CA932" s="24"/>
      <c r="CB932" s="24"/>
      <c r="CC932" s="24"/>
      <c r="CD932" s="24"/>
    </row>
    <row r="933" spans="2:82" ht="16.5" customHeight="1" x14ac:dyDescent="0.3">
      <c r="B933" s="26"/>
      <c r="C933" s="26"/>
      <c r="D933" s="26"/>
      <c r="E933" s="26"/>
      <c r="F933" s="26"/>
      <c r="G933" s="26"/>
      <c r="H933" s="24"/>
      <c r="I933" s="27"/>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c r="BC933" s="24"/>
      <c r="BD933" s="24"/>
      <c r="BE933" s="24"/>
      <c r="BF933" s="24"/>
      <c r="BG933" s="24"/>
      <c r="BH933" s="24"/>
      <c r="BI933" s="24"/>
      <c r="BJ933" s="24"/>
      <c r="BK933" s="24"/>
      <c r="BL933" s="24"/>
      <c r="BM933" s="24"/>
      <c r="BN933" s="24"/>
      <c r="BO933" s="24"/>
      <c r="BP933" s="24"/>
      <c r="BQ933" s="24"/>
      <c r="BR933" s="24"/>
      <c r="BS933" s="24"/>
      <c r="BT933" s="24"/>
      <c r="BU933" s="24"/>
      <c r="BV933" s="24"/>
      <c r="BW933" s="24"/>
      <c r="BX933" s="24"/>
      <c r="BY933" s="24"/>
      <c r="BZ933" s="24"/>
      <c r="CA933" s="24"/>
      <c r="CB933" s="24"/>
      <c r="CC933" s="24"/>
      <c r="CD933" s="24"/>
    </row>
    <row r="934" spans="2:82" ht="16.5" customHeight="1" x14ac:dyDescent="0.3">
      <c r="B934" s="26"/>
      <c r="C934" s="26"/>
      <c r="D934" s="26"/>
      <c r="E934" s="26"/>
      <c r="F934" s="26"/>
      <c r="G934" s="26"/>
      <c r="H934" s="24"/>
      <c r="I934" s="27"/>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c r="BC934" s="24"/>
      <c r="BD934" s="24"/>
      <c r="BE934" s="24"/>
      <c r="BF934" s="24"/>
      <c r="BG934" s="24"/>
      <c r="BH934" s="24"/>
      <c r="BI934" s="24"/>
      <c r="BJ934" s="24"/>
      <c r="BK934" s="24"/>
      <c r="BL934" s="24"/>
      <c r="BM934" s="24"/>
      <c r="BN934" s="24"/>
      <c r="BO934" s="24"/>
      <c r="BP934" s="24"/>
      <c r="BQ934" s="24"/>
      <c r="BR934" s="24"/>
      <c r="BS934" s="24"/>
      <c r="BT934" s="24"/>
      <c r="BU934" s="24"/>
      <c r="BV934" s="24"/>
      <c r="BW934" s="24"/>
      <c r="BX934" s="24"/>
      <c r="BY934" s="24"/>
      <c r="BZ934" s="24"/>
      <c r="CA934" s="24"/>
      <c r="CB934" s="24"/>
      <c r="CC934" s="24"/>
      <c r="CD934" s="24"/>
    </row>
    <row r="935" spans="2:82" ht="16.5" customHeight="1" x14ac:dyDescent="0.3">
      <c r="B935" s="26"/>
      <c r="C935" s="26"/>
      <c r="D935" s="26"/>
      <c r="E935" s="26"/>
      <c r="F935" s="26"/>
      <c r="G935" s="26"/>
      <c r="H935" s="24"/>
      <c r="I935" s="27"/>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row>
    <row r="936" spans="2:82" ht="16.5" customHeight="1" x14ac:dyDescent="0.3">
      <c r="B936" s="26"/>
      <c r="C936" s="26"/>
      <c r="D936" s="26"/>
      <c r="E936" s="26"/>
      <c r="F936" s="26"/>
      <c r="G936" s="26"/>
      <c r="H936" s="24"/>
      <c r="I936" s="27"/>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c r="BC936" s="24"/>
      <c r="BD936" s="24"/>
      <c r="BE936" s="24"/>
      <c r="BF936" s="24"/>
      <c r="BG936" s="24"/>
      <c r="BH936" s="24"/>
      <c r="BI936" s="24"/>
      <c r="BJ936" s="24"/>
      <c r="BK936" s="24"/>
      <c r="BL936" s="24"/>
      <c r="BM936" s="24"/>
      <c r="BN936" s="24"/>
      <c r="BO936" s="24"/>
      <c r="BP936" s="24"/>
      <c r="BQ936" s="24"/>
      <c r="BR936" s="24"/>
      <c r="BS936" s="24"/>
      <c r="BT936" s="24"/>
      <c r="BU936" s="24"/>
      <c r="BV936" s="24"/>
      <c r="BW936" s="24"/>
      <c r="BX936" s="24"/>
      <c r="BY936" s="24"/>
      <c r="BZ936" s="24"/>
      <c r="CA936" s="24"/>
      <c r="CB936" s="24"/>
      <c r="CC936" s="24"/>
      <c r="CD936" s="24"/>
    </row>
    <row r="937" spans="2:82" ht="16.5" customHeight="1" x14ac:dyDescent="0.3">
      <c r="B937" s="26"/>
      <c r="C937" s="26"/>
      <c r="D937" s="26"/>
      <c r="E937" s="26"/>
      <c r="F937" s="26"/>
      <c r="G937" s="26"/>
      <c r="H937" s="24"/>
      <c r="I937" s="27"/>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c r="BC937" s="24"/>
      <c r="BD937" s="24"/>
      <c r="BE937" s="24"/>
      <c r="BF937" s="24"/>
      <c r="BG937" s="24"/>
      <c r="BH937" s="24"/>
      <c r="BI937" s="24"/>
      <c r="BJ937" s="24"/>
      <c r="BK937" s="24"/>
      <c r="BL937" s="24"/>
      <c r="BM937" s="24"/>
      <c r="BN937" s="24"/>
      <c r="BO937" s="24"/>
      <c r="BP937" s="24"/>
      <c r="BQ937" s="24"/>
      <c r="BR937" s="24"/>
      <c r="BS937" s="24"/>
      <c r="BT937" s="24"/>
      <c r="BU937" s="24"/>
      <c r="BV937" s="24"/>
      <c r="BW937" s="24"/>
      <c r="BX937" s="24"/>
      <c r="BY937" s="24"/>
      <c r="BZ937" s="24"/>
      <c r="CA937" s="24"/>
      <c r="CB937" s="24"/>
      <c r="CC937" s="24"/>
      <c r="CD937" s="24"/>
    </row>
    <row r="938" spans="2:82" ht="16.5" customHeight="1" x14ac:dyDescent="0.3">
      <c r="B938" s="26"/>
      <c r="C938" s="26"/>
      <c r="D938" s="26"/>
      <c r="E938" s="26"/>
      <c r="F938" s="26"/>
      <c r="G938" s="26"/>
      <c r="H938" s="24"/>
      <c r="I938" s="27"/>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c r="BC938" s="24"/>
      <c r="BD938" s="24"/>
      <c r="BE938" s="24"/>
      <c r="BF938" s="24"/>
      <c r="BG938" s="24"/>
      <c r="BH938" s="24"/>
      <c r="BI938" s="24"/>
      <c r="BJ938" s="24"/>
      <c r="BK938" s="24"/>
      <c r="BL938" s="24"/>
      <c r="BM938" s="24"/>
      <c r="BN938" s="24"/>
      <c r="BO938" s="24"/>
      <c r="BP938" s="24"/>
      <c r="BQ938" s="24"/>
      <c r="BR938" s="24"/>
      <c r="BS938" s="24"/>
      <c r="BT938" s="24"/>
      <c r="BU938" s="24"/>
      <c r="BV938" s="24"/>
      <c r="BW938" s="24"/>
      <c r="BX938" s="24"/>
      <c r="BY938" s="24"/>
      <c r="BZ938" s="24"/>
      <c r="CA938" s="24"/>
      <c r="CB938" s="24"/>
      <c r="CC938" s="24"/>
      <c r="CD938" s="24"/>
    </row>
    <row r="939" spans="2:82" ht="16.5" customHeight="1" x14ac:dyDescent="0.3">
      <c r="B939" s="26"/>
      <c r="C939" s="26"/>
      <c r="D939" s="26"/>
      <c r="E939" s="26"/>
      <c r="F939" s="26"/>
      <c r="G939" s="26"/>
      <c r="H939" s="24"/>
      <c r="I939" s="27"/>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c r="BC939" s="24"/>
      <c r="BD939" s="24"/>
      <c r="BE939" s="24"/>
      <c r="BF939" s="24"/>
      <c r="BG939" s="24"/>
      <c r="BH939" s="24"/>
      <c r="BI939" s="24"/>
      <c r="BJ939" s="24"/>
      <c r="BK939" s="24"/>
      <c r="BL939" s="24"/>
      <c r="BM939" s="24"/>
      <c r="BN939" s="24"/>
      <c r="BO939" s="24"/>
      <c r="BP939" s="24"/>
      <c r="BQ939" s="24"/>
      <c r="BR939" s="24"/>
      <c r="BS939" s="24"/>
      <c r="BT939" s="24"/>
      <c r="BU939" s="24"/>
      <c r="BV939" s="24"/>
      <c r="BW939" s="24"/>
      <c r="BX939" s="24"/>
      <c r="BY939" s="24"/>
      <c r="BZ939" s="24"/>
      <c r="CA939" s="24"/>
      <c r="CB939" s="24"/>
      <c r="CC939" s="24"/>
      <c r="CD939" s="24"/>
    </row>
    <row r="940" spans="2:82" ht="16.5" customHeight="1" x14ac:dyDescent="0.3">
      <c r="B940" s="26"/>
      <c r="C940" s="26"/>
      <c r="D940" s="26"/>
      <c r="E940" s="26"/>
      <c r="F940" s="26"/>
      <c r="G940" s="26"/>
      <c r="H940" s="24"/>
      <c r="I940" s="27"/>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c r="BC940" s="24"/>
      <c r="BD940" s="24"/>
      <c r="BE940" s="24"/>
      <c r="BF940" s="24"/>
      <c r="BG940" s="24"/>
      <c r="BH940" s="24"/>
      <c r="BI940" s="24"/>
      <c r="BJ940" s="24"/>
      <c r="BK940" s="24"/>
      <c r="BL940" s="24"/>
      <c r="BM940" s="24"/>
      <c r="BN940" s="24"/>
      <c r="BO940" s="24"/>
      <c r="BP940" s="24"/>
      <c r="BQ940" s="24"/>
      <c r="BR940" s="24"/>
      <c r="BS940" s="24"/>
      <c r="BT940" s="24"/>
      <c r="BU940" s="24"/>
      <c r="BV940" s="24"/>
      <c r="BW940" s="24"/>
      <c r="BX940" s="24"/>
      <c r="BY940" s="24"/>
      <c r="BZ940" s="24"/>
      <c r="CA940" s="24"/>
      <c r="CB940" s="24"/>
      <c r="CC940" s="24"/>
      <c r="CD940" s="24"/>
    </row>
    <row r="941" spans="2:82" ht="16.5" customHeight="1" x14ac:dyDescent="0.3">
      <c r="B941" s="26"/>
      <c r="C941" s="26"/>
      <c r="D941" s="26"/>
      <c r="E941" s="26"/>
      <c r="F941" s="26"/>
      <c r="G941" s="26"/>
      <c r="H941" s="24"/>
      <c r="I941" s="27"/>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C941" s="24"/>
      <c r="BD941" s="24"/>
      <c r="BE941" s="24"/>
      <c r="BF941" s="24"/>
      <c r="BG941" s="24"/>
      <c r="BH941" s="24"/>
      <c r="BI941" s="24"/>
      <c r="BJ941" s="24"/>
      <c r="BK941" s="24"/>
      <c r="BL941" s="24"/>
      <c r="BM941" s="24"/>
      <c r="BN941" s="24"/>
      <c r="BO941" s="24"/>
      <c r="BP941" s="24"/>
      <c r="BQ941" s="24"/>
      <c r="BR941" s="24"/>
      <c r="BS941" s="24"/>
      <c r="BT941" s="24"/>
      <c r="BU941" s="24"/>
      <c r="BV941" s="24"/>
      <c r="BW941" s="24"/>
      <c r="BX941" s="24"/>
      <c r="BY941" s="24"/>
      <c r="BZ941" s="24"/>
      <c r="CA941" s="24"/>
      <c r="CB941" s="24"/>
      <c r="CC941" s="24"/>
      <c r="CD941" s="24"/>
    </row>
    <row r="942" spans="2:82" ht="16.5" customHeight="1" x14ac:dyDescent="0.3">
      <c r="B942" s="26"/>
      <c r="C942" s="26"/>
      <c r="D942" s="26"/>
      <c r="E942" s="26"/>
      <c r="F942" s="26"/>
      <c r="G942" s="26"/>
      <c r="H942" s="24"/>
      <c r="I942" s="27"/>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c r="BC942" s="24"/>
      <c r="BD942" s="24"/>
      <c r="BE942" s="24"/>
      <c r="BF942" s="24"/>
      <c r="BG942" s="24"/>
      <c r="BH942" s="24"/>
      <c r="BI942" s="24"/>
      <c r="BJ942" s="24"/>
      <c r="BK942" s="24"/>
      <c r="BL942" s="24"/>
      <c r="BM942" s="24"/>
      <c r="BN942" s="24"/>
      <c r="BO942" s="24"/>
      <c r="BP942" s="24"/>
      <c r="BQ942" s="24"/>
      <c r="BR942" s="24"/>
      <c r="BS942" s="24"/>
      <c r="BT942" s="24"/>
      <c r="BU942" s="24"/>
      <c r="BV942" s="24"/>
      <c r="BW942" s="24"/>
      <c r="BX942" s="24"/>
      <c r="BY942" s="24"/>
      <c r="BZ942" s="24"/>
      <c r="CA942" s="24"/>
      <c r="CB942" s="24"/>
      <c r="CC942" s="24"/>
      <c r="CD942" s="24"/>
    </row>
    <row r="943" spans="2:82" ht="16.5" customHeight="1" x14ac:dyDescent="0.3">
      <c r="B943" s="26"/>
      <c r="C943" s="26"/>
      <c r="D943" s="26"/>
      <c r="E943" s="26"/>
      <c r="F943" s="26"/>
      <c r="G943" s="26"/>
      <c r="H943" s="24"/>
      <c r="I943" s="27"/>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c r="BC943" s="24"/>
      <c r="BD943" s="24"/>
      <c r="BE943" s="24"/>
      <c r="BF943" s="24"/>
      <c r="BG943" s="24"/>
      <c r="BH943" s="24"/>
      <c r="BI943" s="24"/>
      <c r="BJ943" s="24"/>
      <c r="BK943" s="24"/>
      <c r="BL943" s="24"/>
      <c r="BM943" s="24"/>
      <c r="BN943" s="24"/>
      <c r="BO943" s="24"/>
      <c r="BP943" s="24"/>
      <c r="BQ943" s="24"/>
      <c r="BR943" s="24"/>
      <c r="BS943" s="24"/>
      <c r="BT943" s="24"/>
      <c r="BU943" s="24"/>
      <c r="BV943" s="24"/>
      <c r="BW943" s="24"/>
      <c r="BX943" s="24"/>
      <c r="BY943" s="24"/>
      <c r="BZ943" s="24"/>
      <c r="CA943" s="24"/>
      <c r="CB943" s="24"/>
      <c r="CC943" s="24"/>
      <c r="CD943" s="24"/>
    </row>
    <row r="944" spans="2:82" ht="16.5" customHeight="1" x14ac:dyDescent="0.3">
      <c r="B944" s="26"/>
      <c r="C944" s="26"/>
      <c r="D944" s="26"/>
      <c r="E944" s="26"/>
      <c r="F944" s="26"/>
      <c r="G944" s="26"/>
      <c r="H944" s="24"/>
      <c r="I944" s="27"/>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c r="BA944" s="24"/>
      <c r="BB944" s="24"/>
      <c r="BC944" s="24"/>
      <c r="BD944" s="24"/>
      <c r="BE944" s="24"/>
      <c r="BF944" s="24"/>
      <c r="BG944" s="24"/>
      <c r="BH944" s="24"/>
      <c r="BI944" s="24"/>
      <c r="BJ944" s="24"/>
      <c r="BK944" s="24"/>
      <c r="BL944" s="24"/>
      <c r="BM944" s="24"/>
      <c r="BN944" s="24"/>
      <c r="BO944" s="24"/>
      <c r="BP944" s="24"/>
      <c r="BQ944" s="24"/>
      <c r="BR944" s="24"/>
      <c r="BS944" s="24"/>
      <c r="BT944" s="24"/>
      <c r="BU944" s="24"/>
      <c r="BV944" s="24"/>
      <c r="BW944" s="24"/>
      <c r="BX944" s="24"/>
      <c r="BY944" s="24"/>
      <c r="BZ944" s="24"/>
      <c r="CA944" s="24"/>
      <c r="CB944" s="24"/>
      <c r="CC944" s="24"/>
      <c r="CD944" s="24"/>
    </row>
    <row r="945" spans="2:82" ht="16.5" customHeight="1" x14ac:dyDescent="0.3">
      <c r="B945" s="26"/>
      <c r="C945" s="26"/>
      <c r="D945" s="26"/>
      <c r="E945" s="26"/>
      <c r="F945" s="26"/>
      <c r="G945" s="26"/>
      <c r="H945" s="24"/>
      <c r="I945" s="27"/>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c r="BA945" s="24"/>
      <c r="BB945" s="24"/>
      <c r="BC945" s="24"/>
      <c r="BD945" s="24"/>
      <c r="BE945" s="24"/>
      <c r="BF945" s="24"/>
      <c r="BG945" s="24"/>
      <c r="BH945" s="24"/>
      <c r="BI945" s="24"/>
      <c r="BJ945" s="24"/>
      <c r="BK945" s="24"/>
      <c r="BL945" s="24"/>
      <c r="BM945" s="24"/>
      <c r="BN945" s="24"/>
      <c r="BO945" s="24"/>
      <c r="BP945" s="24"/>
      <c r="BQ945" s="24"/>
      <c r="BR945" s="24"/>
      <c r="BS945" s="24"/>
      <c r="BT945" s="24"/>
      <c r="BU945" s="24"/>
      <c r="BV945" s="24"/>
      <c r="BW945" s="24"/>
      <c r="BX945" s="24"/>
      <c r="BY945" s="24"/>
      <c r="BZ945" s="24"/>
      <c r="CA945" s="24"/>
      <c r="CB945" s="24"/>
      <c r="CC945" s="24"/>
      <c r="CD945" s="24"/>
    </row>
    <row r="946" spans="2:82" ht="16.5" customHeight="1" x14ac:dyDescent="0.3">
      <c r="B946" s="26"/>
      <c r="C946" s="26"/>
      <c r="D946" s="26"/>
      <c r="E946" s="26"/>
      <c r="F946" s="26"/>
      <c r="G946" s="26"/>
      <c r="H946" s="24"/>
      <c r="I946" s="27"/>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c r="BA946" s="24"/>
      <c r="BB946" s="24"/>
      <c r="BC946" s="24"/>
      <c r="BD946" s="24"/>
      <c r="BE946" s="24"/>
      <c r="BF946" s="24"/>
      <c r="BG946" s="24"/>
      <c r="BH946" s="24"/>
      <c r="BI946" s="24"/>
      <c r="BJ946" s="24"/>
      <c r="BK946" s="24"/>
      <c r="BL946" s="24"/>
      <c r="BM946" s="24"/>
      <c r="BN946" s="24"/>
      <c r="BO946" s="24"/>
      <c r="BP946" s="24"/>
      <c r="BQ946" s="24"/>
      <c r="BR946" s="24"/>
      <c r="BS946" s="24"/>
      <c r="BT946" s="24"/>
      <c r="BU946" s="24"/>
      <c r="BV946" s="24"/>
      <c r="BW946" s="24"/>
      <c r="BX946" s="24"/>
      <c r="BY946" s="24"/>
      <c r="BZ946" s="24"/>
      <c r="CA946" s="24"/>
      <c r="CB946" s="24"/>
      <c r="CC946" s="24"/>
      <c r="CD946" s="24"/>
    </row>
    <row r="947" spans="2:82" ht="16.5" customHeight="1" x14ac:dyDescent="0.3">
      <c r="B947" s="26"/>
      <c r="C947" s="26"/>
      <c r="D947" s="26"/>
      <c r="E947" s="26"/>
      <c r="F947" s="26"/>
      <c r="G947" s="26"/>
      <c r="H947" s="24"/>
      <c r="I947" s="27"/>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c r="BA947" s="24"/>
      <c r="BB947" s="24"/>
      <c r="BC947" s="24"/>
      <c r="BD947" s="24"/>
      <c r="BE947" s="24"/>
      <c r="BF947" s="24"/>
      <c r="BG947" s="24"/>
      <c r="BH947" s="24"/>
      <c r="BI947" s="24"/>
      <c r="BJ947" s="24"/>
      <c r="BK947" s="24"/>
      <c r="BL947" s="24"/>
      <c r="BM947" s="24"/>
      <c r="BN947" s="24"/>
      <c r="BO947" s="24"/>
      <c r="BP947" s="24"/>
      <c r="BQ947" s="24"/>
      <c r="BR947" s="24"/>
      <c r="BS947" s="24"/>
      <c r="BT947" s="24"/>
      <c r="BU947" s="24"/>
      <c r="BV947" s="24"/>
      <c r="BW947" s="24"/>
      <c r="BX947" s="24"/>
      <c r="BY947" s="24"/>
      <c r="BZ947" s="24"/>
      <c r="CA947" s="24"/>
      <c r="CB947" s="24"/>
      <c r="CC947" s="24"/>
      <c r="CD947" s="24"/>
    </row>
    <row r="948" spans="2:82" ht="16.5" customHeight="1" x14ac:dyDescent="0.3">
      <c r="B948" s="26"/>
      <c r="C948" s="26"/>
      <c r="D948" s="26"/>
      <c r="E948" s="26"/>
      <c r="F948" s="26"/>
      <c r="G948" s="26"/>
      <c r="H948" s="24"/>
      <c r="I948" s="27"/>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c r="BA948" s="24"/>
      <c r="BB948" s="24"/>
      <c r="BC948" s="24"/>
      <c r="BD948" s="24"/>
      <c r="BE948" s="24"/>
      <c r="BF948" s="24"/>
      <c r="BG948" s="24"/>
      <c r="BH948" s="24"/>
      <c r="BI948" s="24"/>
      <c r="BJ948" s="24"/>
      <c r="BK948" s="24"/>
      <c r="BL948" s="24"/>
      <c r="BM948" s="24"/>
      <c r="BN948" s="24"/>
      <c r="BO948" s="24"/>
      <c r="BP948" s="24"/>
      <c r="BQ948" s="24"/>
      <c r="BR948" s="24"/>
      <c r="BS948" s="24"/>
      <c r="BT948" s="24"/>
      <c r="BU948" s="24"/>
      <c r="BV948" s="24"/>
      <c r="BW948" s="24"/>
      <c r="BX948" s="24"/>
      <c r="BY948" s="24"/>
      <c r="BZ948" s="24"/>
      <c r="CA948" s="24"/>
      <c r="CB948" s="24"/>
      <c r="CC948" s="24"/>
      <c r="CD948" s="24"/>
    </row>
    <row r="949" spans="2:82" ht="16.5" customHeight="1" x14ac:dyDescent="0.3">
      <c r="B949" s="26"/>
      <c r="C949" s="26"/>
      <c r="D949" s="26"/>
      <c r="E949" s="26"/>
      <c r="F949" s="26"/>
      <c r="G949" s="26"/>
      <c r="H949" s="24"/>
      <c r="I949" s="27"/>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c r="BA949" s="24"/>
      <c r="BB949" s="24"/>
      <c r="BC949" s="24"/>
      <c r="BD949" s="24"/>
      <c r="BE949" s="24"/>
      <c r="BF949" s="24"/>
      <c r="BG949" s="24"/>
      <c r="BH949" s="24"/>
      <c r="BI949" s="24"/>
      <c r="BJ949" s="24"/>
      <c r="BK949" s="24"/>
      <c r="BL949" s="24"/>
      <c r="BM949" s="24"/>
      <c r="BN949" s="24"/>
      <c r="BO949" s="24"/>
      <c r="BP949" s="24"/>
      <c r="BQ949" s="24"/>
      <c r="BR949" s="24"/>
      <c r="BS949" s="24"/>
      <c r="BT949" s="24"/>
      <c r="BU949" s="24"/>
      <c r="BV949" s="24"/>
      <c r="BW949" s="24"/>
      <c r="BX949" s="24"/>
      <c r="BY949" s="24"/>
      <c r="BZ949" s="24"/>
      <c r="CA949" s="24"/>
      <c r="CB949" s="24"/>
      <c r="CC949" s="24"/>
      <c r="CD949" s="24"/>
    </row>
    <row r="950" spans="2:82" ht="16.5" customHeight="1" x14ac:dyDescent="0.3">
      <c r="B950" s="26"/>
      <c r="C950" s="26"/>
      <c r="D950" s="26"/>
      <c r="E950" s="26"/>
      <c r="F950" s="26"/>
      <c r="G950" s="26"/>
      <c r="H950" s="24"/>
      <c r="I950" s="27"/>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c r="BA950" s="24"/>
      <c r="BB950" s="24"/>
      <c r="BC950" s="24"/>
      <c r="BD950" s="24"/>
      <c r="BE950" s="24"/>
      <c r="BF950" s="24"/>
      <c r="BG950" s="24"/>
      <c r="BH950" s="24"/>
      <c r="BI950" s="24"/>
      <c r="BJ950" s="24"/>
      <c r="BK950" s="24"/>
      <c r="BL950" s="24"/>
      <c r="BM950" s="24"/>
      <c r="BN950" s="24"/>
      <c r="BO950" s="24"/>
      <c r="BP950" s="24"/>
      <c r="BQ950" s="24"/>
      <c r="BR950" s="24"/>
      <c r="BS950" s="24"/>
      <c r="BT950" s="24"/>
      <c r="BU950" s="24"/>
      <c r="BV950" s="24"/>
      <c r="BW950" s="24"/>
      <c r="BX950" s="24"/>
      <c r="BY950" s="24"/>
      <c r="BZ950" s="24"/>
      <c r="CA950" s="24"/>
      <c r="CB950" s="24"/>
      <c r="CC950" s="24"/>
      <c r="CD950" s="24"/>
    </row>
    <row r="951" spans="2:82" ht="16.5" customHeight="1" x14ac:dyDescent="0.3">
      <c r="B951" s="26"/>
      <c r="C951" s="26"/>
      <c r="D951" s="26"/>
      <c r="E951" s="26"/>
      <c r="F951" s="26"/>
      <c r="G951" s="26"/>
      <c r="H951" s="24"/>
      <c r="I951" s="27"/>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c r="BA951" s="24"/>
      <c r="BB951" s="24"/>
      <c r="BC951" s="24"/>
      <c r="BD951" s="24"/>
      <c r="BE951" s="24"/>
      <c r="BF951" s="24"/>
      <c r="BG951" s="24"/>
      <c r="BH951" s="24"/>
      <c r="BI951" s="24"/>
      <c r="BJ951" s="24"/>
      <c r="BK951" s="24"/>
      <c r="BL951" s="24"/>
      <c r="BM951" s="24"/>
      <c r="BN951" s="24"/>
      <c r="BO951" s="24"/>
      <c r="BP951" s="24"/>
      <c r="BQ951" s="24"/>
      <c r="BR951" s="24"/>
      <c r="BS951" s="24"/>
      <c r="BT951" s="24"/>
      <c r="BU951" s="24"/>
      <c r="BV951" s="24"/>
      <c r="BW951" s="24"/>
      <c r="BX951" s="24"/>
      <c r="BY951" s="24"/>
      <c r="BZ951" s="24"/>
      <c r="CA951" s="24"/>
      <c r="CB951" s="24"/>
      <c r="CC951" s="24"/>
      <c r="CD951" s="24"/>
    </row>
    <row r="952" spans="2:82" ht="16.5" customHeight="1" x14ac:dyDescent="0.3">
      <c r="B952" s="26"/>
      <c r="C952" s="26"/>
      <c r="D952" s="26"/>
      <c r="E952" s="26"/>
      <c r="F952" s="26"/>
      <c r="G952" s="26"/>
      <c r="H952" s="24"/>
      <c r="I952" s="27"/>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row>
    <row r="953" spans="2:82" ht="16.5" customHeight="1" x14ac:dyDescent="0.3">
      <c r="B953" s="26"/>
      <c r="C953" s="26"/>
      <c r="D953" s="26"/>
      <c r="E953" s="26"/>
      <c r="F953" s="26"/>
      <c r="G953" s="26"/>
      <c r="H953" s="24"/>
      <c r="I953" s="27"/>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row>
    <row r="954" spans="2:82" ht="16.5" customHeight="1" x14ac:dyDescent="0.3">
      <c r="B954" s="26"/>
      <c r="C954" s="26"/>
      <c r="D954" s="26"/>
      <c r="E954" s="26"/>
      <c r="F954" s="26"/>
      <c r="G954" s="26"/>
      <c r="H954" s="24"/>
      <c r="I954" s="27"/>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row>
    <row r="955" spans="2:82" ht="16.5" customHeight="1" x14ac:dyDescent="0.3">
      <c r="B955" s="26"/>
      <c r="C955" s="26"/>
      <c r="D955" s="26"/>
      <c r="E955" s="26"/>
      <c r="F955" s="26"/>
      <c r="G955" s="26"/>
      <c r="H955" s="24"/>
      <c r="I955" s="27"/>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row>
    <row r="956" spans="2:82" ht="16.5" customHeight="1" x14ac:dyDescent="0.3">
      <c r="B956" s="26"/>
      <c r="C956" s="26"/>
      <c r="D956" s="26"/>
      <c r="E956" s="26"/>
      <c r="F956" s="26"/>
      <c r="G956" s="26"/>
      <c r="H956" s="24"/>
      <c r="I956" s="27"/>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row>
    <row r="957" spans="2:82" ht="16.5" customHeight="1" x14ac:dyDescent="0.3">
      <c r="B957" s="26"/>
      <c r="C957" s="26"/>
      <c r="D957" s="26"/>
      <c r="E957" s="26"/>
      <c r="F957" s="26"/>
      <c r="G957" s="26"/>
      <c r="H957" s="24"/>
      <c r="I957" s="27"/>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row>
    <row r="958" spans="2:82" ht="16.5" customHeight="1" x14ac:dyDescent="0.3">
      <c r="B958" s="26"/>
      <c r="C958" s="26"/>
      <c r="D958" s="26"/>
      <c r="E958" s="26"/>
      <c r="F958" s="26"/>
      <c r="G958" s="26"/>
      <c r="H958" s="24"/>
      <c r="I958" s="27"/>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row>
    <row r="959" spans="2:82" ht="16.5" customHeight="1" x14ac:dyDescent="0.3">
      <c r="B959" s="26"/>
      <c r="C959" s="26"/>
      <c r="D959" s="26"/>
      <c r="E959" s="26"/>
      <c r="F959" s="26"/>
      <c r="G959" s="26"/>
      <c r="H959" s="24"/>
      <c r="I959" s="27"/>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row>
    <row r="960" spans="2:82" ht="16.5" customHeight="1" x14ac:dyDescent="0.3">
      <c r="B960" s="26"/>
      <c r="C960" s="26"/>
      <c r="D960" s="26"/>
      <c r="E960" s="26"/>
      <c r="F960" s="26"/>
      <c r="G960" s="26"/>
      <c r="H960" s="24"/>
      <c r="I960" s="27"/>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row>
    <row r="961" spans="2:82" ht="16.5" customHeight="1" x14ac:dyDescent="0.3">
      <c r="B961" s="26"/>
      <c r="C961" s="26"/>
      <c r="D961" s="26"/>
      <c r="E961" s="26"/>
      <c r="F961" s="26"/>
      <c r="G961" s="26"/>
      <c r="H961" s="24"/>
      <c r="I961" s="27"/>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row>
    <row r="962" spans="2:82" ht="16.5" customHeight="1" x14ac:dyDescent="0.3">
      <c r="B962" s="26"/>
      <c r="C962" s="26"/>
      <c r="D962" s="26"/>
      <c r="E962" s="26"/>
      <c r="F962" s="26"/>
      <c r="G962" s="26"/>
      <c r="H962" s="24"/>
      <c r="I962" s="27"/>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row>
    <row r="963" spans="2:82" ht="16.5" customHeight="1" x14ac:dyDescent="0.3">
      <c r="B963" s="26"/>
      <c r="C963" s="26"/>
      <c r="D963" s="26"/>
      <c r="E963" s="26"/>
      <c r="F963" s="26"/>
      <c r="G963" s="26"/>
      <c r="H963" s="24"/>
      <c r="I963" s="27"/>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row>
    <row r="964" spans="2:82" ht="16.5" customHeight="1" x14ac:dyDescent="0.3">
      <c r="B964" s="26"/>
      <c r="C964" s="26"/>
      <c r="D964" s="26"/>
      <c r="E964" s="26"/>
      <c r="F964" s="26"/>
      <c r="G964" s="26"/>
      <c r="H964" s="24"/>
      <c r="I964" s="27"/>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row>
    <row r="965" spans="2:82" ht="16.5" customHeight="1" x14ac:dyDescent="0.3">
      <c r="B965" s="26"/>
      <c r="C965" s="26"/>
      <c r="D965" s="26"/>
      <c r="E965" s="26"/>
      <c r="F965" s="26"/>
      <c r="G965" s="26"/>
      <c r="H965" s="24"/>
      <c r="I965" s="27"/>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row>
    <row r="966" spans="2:82" ht="16.5" customHeight="1" x14ac:dyDescent="0.3">
      <c r="B966" s="26"/>
      <c r="C966" s="26"/>
      <c r="D966" s="26"/>
      <c r="E966" s="26"/>
      <c r="F966" s="26"/>
      <c r="G966" s="26"/>
      <c r="H966" s="24"/>
      <c r="I966" s="27"/>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row>
    <row r="967" spans="2:82" ht="16.5" customHeight="1" x14ac:dyDescent="0.3">
      <c r="B967" s="26"/>
      <c r="C967" s="26"/>
      <c r="D967" s="26"/>
      <c r="E967" s="26"/>
      <c r="F967" s="26"/>
      <c r="G967" s="26"/>
      <c r="H967" s="24"/>
      <c r="I967" s="27"/>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row>
    <row r="968" spans="2:82" ht="16.5" customHeight="1" x14ac:dyDescent="0.3">
      <c r="B968" s="26"/>
      <c r="C968" s="26"/>
      <c r="D968" s="26"/>
      <c r="E968" s="26"/>
      <c r="F968" s="26"/>
      <c r="G968" s="26"/>
      <c r="H968" s="24"/>
      <c r="I968" s="27"/>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C968" s="24"/>
      <c r="BD968" s="24"/>
      <c r="BE968" s="24"/>
      <c r="BF968" s="24"/>
      <c r="BG968" s="24"/>
      <c r="BH968" s="24"/>
      <c r="BI968" s="24"/>
      <c r="BJ968" s="24"/>
      <c r="BK968" s="24"/>
      <c r="BL968" s="24"/>
      <c r="BM968" s="24"/>
      <c r="BN968" s="24"/>
      <c r="BO968" s="24"/>
      <c r="BP968" s="24"/>
      <c r="BQ968" s="24"/>
      <c r="BR968" s="24"/>
      <c r="BS968" s="24"/>
      <c r="BT968" s="24"/>
      <c r="BU968" s="24"/>
      <c r="BV968" s="24"/>
      <c r="BW968" s="24"/>
      <c r="BX968" s="24"/>
      <c r="BY968" s="24"/>
      <c r="BZ968" s="24"/>
      <c r="CA968" s="24"/>
      <c r="CB968" s="24"/>
      <c r="CC968" s="24"/>
      <c r="CD968" s="24"/>
    </row>
    <row r="969" spans="2:82" ht="16.5" customHeight="1" x14ac:dyDescent="0.3">
      <c r="B969" s="26"/>
      <c r="C969" s="26"/>
      <c r="D969" s="26"/>
      <c r="E969" s="26"/>
      <c r="F969" s="26"/>
      <c r="G969" s="26"/>
      <c r="H969" s="24"/>
      <c r="I969" s="27"/>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c r="BC969" s="24"/>
      <c r="BD969" s="24"/>
      <c r="BE969" s="24"/>
      <c r="BF969" s="24"/>
      <c r="BG969" s="24"/>
      <c r="BH969" s="24"/>
      <c r="BI969" s="24"/>
      <c r="BJ969" s="24"/>
      <c r="BK969" s="24"/>
      <c r="BL969" s="24"/>
      <c r="BM969" s="24"/>
      <c r="BN969" s="24"/>
      <c r="BO969" s="24"/>
      <c r="BP969" s="24"/>
      <c r="BQ969" s="24"/>
      <c r="BR969" s="24"/>
      <c r="BS969" s="24"/>
      <c r="BT969" s="24"/>
      <c r="BU969" s="24"/>
      <c r="BV969" s="24"/>
      <c r="BW969" s="24"/>
      <c r="BX969" s="24"/>
      <c r="BY969" s="24"/>
      <c r="BZ969" s="24"/>
      <c r="CA969" s="24"/>
      <c r="CB969" s="24"/>
      <c r="CC969" s="24"/>
      <c r="CD969" s="24"/>
    </row>
    <row r="970" spans="2:82" ht="16.5" customHeight="1" x14ac:dyDescent="0.3">
      <c r="B970" s="26"/>
      <c r="C970" s="26"/>
      <c r="D970" s="26"/>
      <c r="E970" s="26"/>
      <c r="F970" s="26"/>
      <c r="G970" s="26"/>
      <c r="H970" s="24"/>
      <c r="I970" s="27"/>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c r="BC970" s="24"/>
      <c r="BD970" s="24"/>
      <c r="BE970" s="24"/>
      <c r="BF970" s="24"/>
      <c r="BG970" s="24"/>
      <c r="BH970" s="24"/>
      <c r="BI970" s="24"/>
      <c r="BJ970" s="24"/>
      <c r="BK970" s="24"/>
      <c r="BL970" s="24"/>
      <c r="BM970" s="24"/>
      <c r="BN970" s="24"/>
      <c r="BO970" s="24"/>
      <c r="BP970" s="24"/>
      <c r="BQ970" s="24"/>
      <c r="BR970" s="24"/>
      <c r="BS970" s="24"/>
      <c r="BT970" s="24"/>
      <c r="BU970" s="24"/>
      <c r="BV970" s="24"/>
      <c r="BW970" s="24"/>
      <c r="BX970" s="24"/>
      <c r="BY970" s="24"/>
      <c r="BZ970" s="24"/>
      <c r="CA970" s="24"/>
      <c r="CB970" s="24"/>
      <c r="CC970" s="24"/>
      <c r="CD970" s="24"/>
    </row>
    <row r="971" spans="2:82" ht="16.5" customHeight="1" x14ac:dyDescent="0.3">
      <c r="B971" s="26"/>
      <c r="C971" s="26"/>
      <c r="D971" s="26"/>
      <c r="E971" s="26"/>
      <c r="F971" s="26"/>
      <c r="G971" s="26"/>
      <c r="H971" s="24"/>
      <c r="I971" s="27"/>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c r="BA971" s="24"/>
      <c r="BB971" s="24"/>
      <c r="BC971" s="24"/>
      <c r="BD971" s="24"/>
      <c r="BE971" s="24"/>
      <c r="BF971" s="24"/>
      <c r="BG971" s="24"/>
      <c r="BH971" s="24"/>
      <c r="BI971" s="24"/>
      <c r="BJ971" s="24"/>
      <c r="BK971" s="24"/>
      <c r="BL971" s="24"/>
      <c r="BM971" s="24"/>
      <c r="BN971" s="24"/>
      <c r="BO971" s="24"/>
      <c r="BP971" s="24"/>
      <c r="BQ971" s="24"/>
      <c r="BR971" s="24"/>
      <c r="BS971" s="24"/>
      <c r="BT971" s="24"/>
      <c r="BU971" s="24"/>
      <c r="BV971" s="24"/>
      <c r="BW971" s="24"/>
      <c r="BX971" s="24"/>
      <c r="BY971" s="24"/>
      <c r="BZ971" s="24"/>
      <c r="CA971" s="24"/>
      <c r="CB971" s="24"/>
      <c r="CC971" s="24"/>
      <c r="CD971" s="24"/>
    </row>
    <row r="972" spans="2:82" ht="16.5" customHeight="1" x14ac:dyDescent="0.3">
      <c r="B972" s="26"/>
      <c r="C972" s="26"/>
      <c r="D972" s="26"/>
      <c r="E972" s="26"/>
      <c r="F972" s="26"/>
      <c r="G972" s="26"/>
      <c r="H972" s="24"/>
      <c r="I972" s="27"/>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c r="BA972" s="24"/>
      <c r="BB972" s="24"/>
      <c r="BC972" s="24"/>
      <c r="BD972" s="24"/>
      <c r="BE972" s="24"/>
      <c r="BF972" s="24"/>
      <c r="BG972" s="24"/>
      <c r="BH972" s="24"/>
      <c r="BI972" s="24"/>
      <c r="BJ972" s="24"/>
      <c r="BK972" s="24"/>
      <c r="BL972" s="24"/>
      <c r="BM972" s="24"/>
      <c r="BN972" s="24"/>
      <c r="BO972" s="24"/>
      <c r="BP972" s="24"/>
      <c r="BQ972" s="24"/>
      <c r="BR972" s="24"/>
      <c r="BS972" s="24"/>
      <c r="BT972" s="24"/>
      <c r="BU972" s="24"/>
      <c r="BV972" s="24"/>
      <c r="BW972" s="24"/>
      <c r="BX972" s="24"/>
      <c r="BY972" s="24"/>
      <c r="BZ972" s="24"/>
      <c r="CA972" s="24"/>
      <c r="CB972" s="24"/>
      <c r="CC972" s="24"/>
      <c r="CD972" s="24"/>
    </row>
    <row r="973" spans="2:82" ht="16.5" customHeight="1" x14ac:dyDescent="0.3">
      <c r="B973" s="26"/>
      <c r="C973" s="26"/>
      <c r="D973" s="26"/>
      <c r="E973" s="26"/>
      <c r="F973" s="26"/>
      <c r="G973" s="26"/>
      <c r="H973" s="24"/>
      <c r="I973" s="27"/>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c r="BA973" s="24"/>
      <c r="BB973" s="24"/>
      <c r="BC973" s="24"/>
      <c r="BD973" s="24"/>
      <c r="BE973" s="24"/>
      <c r="BF973" s="24"/>
      <c r="BG973" s="24"/>
      <c r="BH973" s="24"/>
      <c r="BI973" s="24"/>
      <c r="BJ973" s="24"/>
      <c r="BK973" s="24"/>
      <c r="BL973" s="24"/>
      <c r="BM973" s="24"/>
      <c r="BN973" s="24"/>
      <c r="BO973" s="24"/>
      <c r="BP973" s="24"/>
      <c r="BQ973" s="24"/>
      <c r="BR973" s="24"/>
      <c r="BS973" s="24"/>
      <c r="BT973" s="24"/>
      <c r="BU973" s="24"/>
      <c r="BV973" s="24"/>
      <c r="BW973" s="24"/>
      <c r="BX973" s="24"/>
      <c r="BY973" s="24"/>
      <c r="BZ973" s="24"/>
      <c r="CA973" s="24"/>
      <c r="CB973" s="24"/>
      <c r="CC973" s="24"/>
      <c r="CD973" s="24"/>
    </row>
    <row r="974" spans="2:82" ht="16.5" customHeight="1" x14ac:dyDescent="0.3">
      <c r="B974" s="26"/>
      <c r="C974" s="26"/>
      <c r="D974" s="26"/>
      <c r="E974" s="26"/>
      <c r="F974" s="26"/>
      <c r="G974" s="26"/>
      <c r="H974" s="24"/>
      <c r="I974" s="27"/>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c r="BA974" s="24"/>
      <c r="BB974" s="24"/>
      <c r="BC974" s="24"/>
      <c r="BD974" s="24"/>
      <c r="BE974" s="24"/>
      <c r="BF974" s="24"/>
      <c r="BG974" s="24"/>
      <c r="BH974" s="24"/>
      <c r="BI974" s="24"/>
      <c r="BJ974" s="24"/>
      <c r="BK974" s="24"/>
      <c r="BL974" s="24"/>
      <c r="BM974" s="24"/>
      <c r="BN974" s="24"/>
      <c r="BO974" s="24"/>
      <c r="BP974" s="24"/>
      <c r="BQ974" s="24"/>
      <c r="BR974" s="24"/>
      <c r="BS974" s="24"/>
      <c r="BT974" s="24"/>
      <c r="BU974" s="24"/>
      <c r="BV974" s="24"/>
      <c r="BW974" s="24"/>
      <c r="BX974" s="24"/>
      <c r="BY974" s="24"/>
      <c r="BZ974" s="24"/>
      <c r="CA974" s="24"/>
      <c r="CB974" s="24"/>
      <c r="CC974" s="24"/>
      <c r="CD974" s="24"/>
    </row>
    <row r="975" spans="2:82" ht="16.5" customHeight="1" x14ac:dyDescent="0.3">
      <c r="B975" s="26"/>
      <c r="C975" s="26"/>
      <c r="D975" s="26"/>
      <c r="E975" s="26"/>
      <c r="F975" s="26"/>
      <c r="G975" s="26"/>
      <c r="H975" s="24"/>
      <c r="I975" s="27"/>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c r="BA975" s="24"/>
      <c r="BB975" s="24"/>
      <c r="BC975" s="24"/>
      <c r="BD975" s="24"/>
      <c r="BE975" s="24"/>
      <c r="BF975" s="24"/>
      <c r="BG975" s="24"/>
      <c r="BH975" s="24"/>
      <c r="BI975" s="24"/>
      <c r="BJ975" s="24"/>
      <c r="BK975" s="24"/>
      <c r="BL975" s="24"/>
      <c r="BM975" s="24"/>
      <c r="BN975" s="24"/>
      <c r="BO975" s="24"/>
      <c r="BP975" s="24"/>
      <c r="BQ975" s="24"/>
      <c r="BR975" s="24"/>
      <c r="BS975" s="24"/>
      <c r="BT975" s="24"/>
      <c r="BU975" s="24"/>
      <c r="BV975" s="24"/>
      <c r="BW975" s="24"/>
      <c r="BX975" s="24"/>
      <c r="BY975" s="24"/>
      <c r="BZ975" s="24"/>
      <c r="CA975" s="24"/>
      <c r="CB975" s="24"/>
      <c r="CC975" s="24"/>
      <c r="CD975" s="24"/>
    </row>
    <row r="976" spans="2:82" ht="16.5" customHeight="1" x14ac:dyDescent="0.3">
      <c r="B976" s="26"/>
      <c r="C976" s="26"/>
      <c r="D976" s="26"/>
      <c r="E976" s="26"/>
      <c r="F976" s="26"/>
      <c r="G976" s="26"/>
      <c r="H976" s="24"/>
      <c r="I976" s="27"/>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c r="BA976" s="24"/>
      <c r="BB976" s="24"/>
      <c r="BC976" s="24"/>
      <c r="BD976" s="24"/>
      <c r="BE976" s="24"/>
      <c r="BF976" s="24"/>
      <c r="BG976" s="24"/>
      <c r="BH976" s="24"/>
      <c r="BI976" s="24"/>
      <c r="BJ976" s="24"/>
      <c r="BK976" s="24"/>
      <c r="BL976" s="24"/>
      <c r="BM976" s="24"/>
      <c r="BN976" s="24"/>
      <c r="BO976" s="24"/>
      <c r="BP976" s="24"/>
      <c r="BQ976" s="24"/>
      <c r="BR976" s="24"/>
      <c r="BS976" s="24"/>
      <c r="BT976" s="24"/>
      <c r="BU976" s="24"/>
      <c r="BV976" s="24"/>
      <c r="BW976" s="24"/>
      <c r="BX976" s="24"/>
      <c r="BY976" s="24"/>
      <c r="BZ976" s="24"/>
      <c r="CA976" s="24"/>
      <c r="CB976" s="24"/>
      <c r="CC976" s="24"/>
      <c r="CD976" s="24"/>
    </row>
    <row r="977" spans="2:82" ht="16.5" customHeight="1" x14ac:dyDescent="0.3">
      <c r="B977" s="26"/>
      <c r="C977" s="26"/>
      <c r="D977" s="26"/>
      <c r="E977" s="26"/>
      <c r="F977" s="26"/>
      <c r="G977" s="26"/>
      <c r="H977" s="24"/>
      <c r="I977" s="27"/>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c r="BA977" s="24"/>
      <c r="BB977" s="24"/>
      <c r="BC977" s="24"/>
      <c r="BD977" s="24"/>
      <c r="BE977" s="24"/>
      <c r="BF977" s="24"/>
      <c r="BG977" s="24"/>
      <c r="BH977" s="24"/>
      <c r="BI977" s="24"/>
      <c r="BJ977" s="24"/>
      <c r="BK977" s="24"/>
      <c r="BL977" s="24"/>
      <c r="BM977" s="24"/>
      <c r="BN977" s="24"/>
      <c r="BO977" s="24"/>
      <c r="BP977" s="24"/>
      <c r="BQ977" s="24"/>
      <c r="BR977" s="24"/>
      <c r="BS977" s="24"/>
      <c r="BT977" s="24"/>
      <c r="BU977" s="24"/>
      <c r="BV977" s="24"/>
      <c r="BW977" s="24"/>
      <c r="BX977" s="24"/>
      <c r="BY977" s="24"/>
      <c r="BZ977" s="24"/>
      <c r="CA977" s="24"/>
      <c r="CB977" s="24"/>
      <c r="CC977" s="24"/>
      <c r="CD977" s="24"/>
    </row>
    <row r="978" spans="2:82" ht="16.5" customHeight="1" x14ac:dyDescent="0.3">
      <c r="B978" s="26"/>
      <c r="C978" s="26"/>
      <c r="D978" s="26"/>
      <c r="E978" s="26"/>
      <c r="F978" s="26"/>
      <c r="G978" s="26"/>
      <c r="H978" s="24"/>
      <c r="I978" s="27"/>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c r="BA978" s="24"/>
      <c r="BB978" s="24"/>
      <c r="BC978" s="24"/>
      <c r="BD978" s="24"/>
      <c r="BE978" s="24"/>
      <c r="BF978" s="24"/>
      <c r="BG978" s="24"/>
      <c r="BH978" s="24"/>
      <c r="BI978" s="24"/>
      <c r="BJ978" s="24"/>
      <c r="BK978" s="24"/>
      <c r="BL978" s="24"/>
      <c r="BM978" s="24"/>
      <c r="BN978" s="24"/>
      <c r="BO978" s="24"/>
      <c r="BP978" s="24"/>
      <c r="BQ978" s="24"/>
      <c r="BR978" s="24"/>
      <c r="BS978" s="24"/>
      <c r="BT978" s="24"/>
      <c r="BU978" s="24"/>
      <c r="BV978" s="24"/>
      <c r="BW978" s="24"/>
      <c r="BX978" s="24"/>
      <c r="BY978" s="24"/>
      <c r="BZ978" s="24"/>
      <c r="CA978" s="24"/>
      <c r="CB978" s="24"/>
      <c r="CC978" s="24"/>
      <c r="CD978" s="24"/>
    </row>
    <row r="979" spans="2:82" ht="16.5" customHeight="1" x14ac:dyDescent="0.3">
      <c r="B979" s="26"/>
      <c r="C979" s="26"/>
      <c r="D979" s="26"/>
      <c r="E979" s="26"/>
      <c r="F979" s="26"/>
      <c r="G979" s="26"/>
      <c r="H979" s="24"/>
      <c r="I979" s="27"/>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c r="BA979" s="24"/>
      <c r="BB979" s="24"/>
      <c r="BC979" s="24"/>
      <c r="BD979" s="24"/>
      <c r="BE979" s="24"/>
      <c r="BF979" s="24"/>
      <c r="BG979" s="24"/>
      <c r="BH979" s="24"/>
      <c r="BI979" s="24"/>
      <c r="BJ979" s="24"/>
      <c r="BK979" s="24"/>
      <c r="BL979" s="24"/>
      <c r="BM979" s="24"/>
      <c r="BN979" s="24"/>
      <c r="BO979" s="24"/>
      <c r="BP979" s="24"/>
      <c r="BQ979" s="24"/>
      <c r="BR979" s="24"/>
      <c r="BS979" s="24"/>
      <c r="BT979" s="24"/>
      <c r="BU979" s="24"/>
      <c r="BV979" s="24"/>
      <c r="BW979" s="24"/>
      <c r="BX979" s="24"/>
      <c r="BY979" s="24"/>
      <c r="BZ979" s="24"/>
      <c r="CA979" s="24"/>
      <c r="CB979" s="24"/>
      <c r="CC979" s="24"/>
      <c r="CD979" s="24"/>
    </row>
    <row r="980" spans="2:82" ht="16.5" customHeight="1" x14ac:dyDescent="0.3">
      <c r="B980" s="26"/>
      <c r="C980" s="26"/>
      <c r="D980" s="26"/>
      <c r="E980" s="26"/>
      <c r="F980" s="26"/>
      <c r="G980" s="26"/>
      <c r="H980" s="24"/>
      <c r="I980" s="27"/>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c r="BA980" s="24"/>
      <c r="BB980" s="24"/>
      <c r="BC980" s="24"/>
      <c r="BD980" s="24"/>
      <c r="BE980" s="24"/>
      <c r="BF980" s="24"/>
      <c r="BG980" s="24"/>
      <c r="BH980" s="24"/>
      <c r="BI980" s="24"/>
      <c r="BJ980" s="24"/>
      <c r="BK980" s="24"/>
      <c r="BL980" s="24"/>
      <c r="BM980" s="24"/>
      <c r="BN980" s="24"/>
      <c r="BO980" s="24"/>
      <c r="BP980" s="24"/>
      <c r="BQ980" s="24"/>
      <c r="BR980" s="24"/>
      <c r="BS980" s="24"/>
      <c r="BT980" s="24"/>
      <c r="BU980" s="24"/>
      <c r="BV980" s="24"/>
      <c r="BW980" s="24"/>
      <c r="BX980" s="24"/>
      <c r="BY980" s="24"/>
      <c r="BZ980" s="24"/>
      <c r="CA980" s="24"/>
      <c r="CB980" s="24"/>
      <c r="CC980" s="24"/>
      <c r="CD980" s="24"/>
    </row>
    <row r="981" spans="2:82" ht="16.5" customHeight="1" x14ac:dyDescent="0.3">
      <c r="B981" s="26"/>
      <c r="C981" s="26"/>
      <c r="D981" s="26"/>
      <c r="E981" s="26"/>
      <c r="F981" s="26"/>
      <c r="G981" s="26"/>
      <c r="H981" s="24"/>
      <c r="I981" s="27"/>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c r="BA981" s="24"/>
      <c r="BB981" s="24"/>
      <c r="BC981" s="24"/>
      <c r="BD981" s="24"/>
      <c r="BE981" s="24"/>
      <c r="BF981" s="24"/>
      <c r="BG981" s="24"/>
      <c r="BH981" s="24"/>
      <c r="BI981" s="24"/>
      <c r="BJ981" s="24"/>
      <c r="BK981" s="24"/>
      <c r="BL981" s="24"/>
      <c r="BM981" s="24"/>
      <c r="BN981" s="24"/>
      <c r="BO981" s="24"/>
      <c r="BP981" s="24"/>
      <c r="BQ981" s="24"/>
      <c r="BR981" s="24"/>
      <c r="BS981" s="24"/>
      <c r="BT981" s="24"/>
      <c r="BU981" s="24"/>
      <c r="BV981" s="24"/>
      <c r="BW981" s="24"/>
      <c r="BX981" s="24"/>
      <c r="BY981" s="24"/>
      <c r="BZ981" s="24"/>
      <c r="CA981" s="24"/>
      <c r="CB981" s="24"/>
      <c r="CC981" s="24"/>
      <c r="CD981" s="24"/>
    </row>
    <row r="982" spans="2:82" ht="16.5" customHeight="1" x14ac:dyDescent="0.3">
      <c r="B982" s="26"/>
      <c r="C982" s="26"/>
      <c r="D982" s="26"/>
      <c r="E982" s="26"/>
      <c r="F982" s="26"/>
      <c r="G982" s="26"/>
      <c r="H982" s="24"/>
      <c r="I982" s="27"/>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c r="BF982" s="24"/>
      <c r="BG982" s="24"/>
      <c r="BH982" s="24"/>
      <c r="BI982" s="24"/>
      <c r="BJ982" s="24"/>
      <c r="BK982" s="24"/>
      <c r="BL982" s="24"/>
      <c r="BM982" s="24"/>
      <c r="BN982" s="24"/>
      <c r="BO982" s="24"/>
      <c r="BP982" s="24"/>
      <c r="BQ982" s="24"/>
      <c r="BR982" s="24"/>
      <c r="BS982" s="24"/>
      <c r="BT982" s="24"/>
      <c r="BU982" s="24"/>
      <c r="BV982" s="24"/>
      <c r="BW982" s="24"/>
      <c r="BX982" s="24"/>
      <c r="BY982" s="24"/>
      <c r="BZ982" s="24"/>
      <c r="CA982" s="24"/>
      <c r="CB982" s="24"/>
      <c r="CC982" s="24"/>
      <c r="CD982" s="24"/>
    </row>
    <row r="983" spans="2:82" ht="16.5" customHeight="1" x14ac:dyDescent="0.3">
      <c r="B983" s="26"/>
      <c r="C983" s="26"/>
      <c r="D983" s="26"/>
      <c r="E983" s="26"/>
      <c r="F983" s="26"/>
      <c r="G983" s="26"/>
      <c r="H983" s="24"/>
      <c r="I983" s="27"/>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c r="BA983" s="24"/>
      <c r="BB983" s="24"/>
      <c r="BC983" s="24"/>
      <c r="BD983" s="24"/>
      <c r="BE983" s="24"/>
      <c r="BF983" s="24"/>
      <c r="BG983" s="24"/>
      <c r="BH983" s="24"/>
      <c r="BI983" s="24"/>
      <c r="BJ983" s="24"/>
      <c r="BK983" s="24"/>
      <c r="BL983" s="24"/>
      <c r="BM983" s="24"/>
      <c r="BN983" s="24"/>
      <c r="BO983" s="24"/>
      <c r="BP983" s="24"/>
      <c r="BQ983" s="24"/>
      <c r="BR983" s="24"/>
      <c r="BS983" s="24"/>
      <c r="BT983" s="24"/>
      <c r="BU983" s="24"/>
      <c r="BV983" s="24"/>
      <c r="BW983" s="24"/>
      <c r="BX983" s="24"/>
      <c r="BY983" s="24"/>
      <c r="BZ983" s="24"/>
      <c r="CA983" s="24"/>
      <c r="CB983" s="24"/>
      <c r="CC983" s="24"/>
      <c r="CD983" s="24"/>
    </row>
    <row r="984" spans="2:82" ht="16.5" customHeight="1" x14ac:dyDescent="0.3">
      <c r="B984" s="26"/>
      <c r="C984" s="26"/>
      <c r="D984" s="26"/>
      <c r="E984" s="26"/>
      <c r="F984" s="26"/>
      <c r="G984" s="26"/>
      <c r="H984" s="24"/>
      <c r="I984" s="27"/>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c r="BA984" s="24"/>
      <c r="BB984" s="24"/>
      <c r="BC984" s="24"/>
      <c r="BD984" s="24"/>
      <c r="BE984" s="24"/>
      <c r="BF984" s="24"/>
      <c r="BG984" s="24"/>
      <c r="BH984" s="24"/>
      <c r="BI984" s="24"/>
      <c r="BJ984" s="24"/>
      <c r="BK984" s="24"/>
      <c r="BL984" s="24"/>
      <c r="BM984" s="24"/>
      <c r="BN984" s="24"/>
      <c r="BO984" s="24"/>
      <c r="BP984" s="24"/>
      <c r="BQ984" s="24"/>
      <c r="BR984" s="24"/>
      <c r="BS984" s="24"/>
      <c r="BT984" s="24"/>
      <c r="BU984" s="24"/>
      <c r="BV984" s="24"/>
      <c r="BW984" s="24"/>
      <c r="BX984" s="24"/>
      <c r="BY984" s="24"/>
      <c r="BZ984" s="24"/>
      <c r="CA984" s="24"/>
      <c r="CB984" s="24"/>
      <c r="CC984" s="24"/>
      <c r="CD984" s="24"/>
    </row>
    <row r="985" spans="2:82" ht="16.5" customHeight="1" x14ac:dyDescent="0.3">
      <c r="B985" s="26"/>
      <c r="C985" s="26"/>
      <c r="D985" s="26"/>
      <c r="E985" s="26"/>
      <c r="F985" s="26"/>
      <c r="G985" s="26"/>
      <c r="H985" s="24"/>
      <c r="I985" s="27"/>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c r="BA985" s="24"/>
      <c r="BB985" s="24"/>
      <c r="BC985" s="24"/>
      <c r="BD985" s="24"/>
      <c r="BE985" s="24"/>
      <c r="BF985" s="24"/>
      <c r="BG985" s="24"/>
      <c r="BH985" s="24"/>
      <c r="BI985" s="24"/>
      <c r="BJ985" s="24"/>
      <c r="BK985" s="24"/>
      <c r="BL985" s="24"/>
      <c r="BM985" s="24"/>
      <c r="BN985" s="24"/>
      <c r="BO985" s="24"/>
      <c r="BP985" s="24"/>
      <c r="BQ985" s="24"/>
      <c r="BR985" s="24"/>
      <c r="BS985" s="24"/>
      <c r="BT985" s="24"/>
      <c r="BU985" s="24"/>
      <c r="BV985" s="24"/>
      <c r="BW985" s="24"/>
      <c r="BX985" s="24"/>
      <c r="BY985" s="24"/>
      <c r="BZ985" s="24"/>
      <c r="CA985" s="24"/>
      <c r="CB985" s="24"/>
      <c r="CC985" s="24"/>
      <c r="CD985" s="24"/>
    </row>
    <row r="986" spans="2:82" ht="16.5" customHeight="1" x14ac:dyDescent="0.3">
      <c r="B986" s="26"/>
      <c r="C986" s="26"/>
      <c r="D986" s="26"/>
      <c r="E986" s="26"/>
      <c r="F986" s="26"/>
      <c r="G986" s="26"/>
      <c r="H986" s="24"/>
      <c r="I986" s="27"/>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c r="BA986" s="24"/>
      <c r="BB986" s="24"/>
      <c r="BC986" s="24"/>
      <c r="BD986" s="24"/>
      <c r="BE986" s="24"/>
      <c r="BF986" s="24"/>
      <c r="BG986" s="24"/>
      <c r="BH986" s="24"/>
      <c r="BI986" s="24"/>
      <c r="BJ986" s="24"/>
      <c r="BK986" s="24"/>
      <c r="BL986" s="24"/>
      <c r="BM986" s="24"/>
      <c r="BN986" s="24"/>
      <c r="BO986" s="24"/>
      <c r="BP986" s="24"/>
      <c r="BQ986" s="24"/>
      <c r="BR986" s="24"/>
      <c r="BS986" s="24"/>
      <c r="BT986" s="24"/>
      <c r="BU986" s="24"/>
      <c r="BV986" s="24"/>
      <c r="BW986" s="24"/>
      <c r="BX986" s="24"/>
      <c r="BY986" s="24"/>
      <c r="BZ986" s="24"/>
      <c r="CA986" s="24"/>
      <c r="CB986" s="24"/>
      <c r="CC986" s="24"/>
      <c r="CD986" s="24"/>
    </row>
    <row r="987" spans="2:82" ht="16.5" customHeight="1" x14ac:dyDescent="0.3">
      <c r="B987" s="26"/>
      <c r="C987" s="26"/>
      <c r="D987" s="26"/>
      <c r="E987" s="26"/>
      <c r="F987" s="26"/>
      <c r="G987" s="26"/>
      <c r="H987" s="24"/>
      <c r="I987" s="27"/>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c r="BA987" s="24"/>
      <c r="BB987" s="24"/>
      <c r="BC987" s="24"/>
      <c r="BD987" s="24"/>
      <c r="BE987" s="24"/>
      <c r="BF987" s="24"/>
      <c r="BG987" s="24"/>
      <c r="BH987" s="24"/>
      <c r="BI987" s="24"/>
      <c r="BJ987" s="24"/>
      <c r="BK987" s="24"/>
      <c r="BL987" s="24"/>
      <c r="BM987" s="24"/>
      <c r="BN987" s="24"/>
      <c r="BO987" s="24"/>
      <c r="BP987" s="24"/>
      <c r="BQ987" s="24"/>
      <c r="BR987" s="24"/>
      <c r="BS987" s="24"/>
      <c r="BT987" s="24"/>
      <c r="BU987" s="24"/>
      <c r="BV987" s="24"/>
      <c r="BW987" s="24"/>
      <c r="BX987" s="24"/>
      <c r="BY987" s="24"/>
      <c r="BZ987" s="24"/>
      <c r="CA987" s="24"/>
      <c r="CB987" s="24"/>
      <c r="CC987" s="24"/>
      <c r="CD987" s="24"/>
    </row>
    <row r="988" spans="2:82" ht="16.5" customHeight="1" x14ac:dyDescent="0.3">
      <c r="B988" s="26"/>
      <c r="C988" s="26"/>
      <c r="D988" s="26"/>
      <c r="E988" s="26"/>
      <c r="F988" s="26"/>
      <c r="G988" s="26"/>
      <c r="H988" s="24"/>
      <c r="I988" s="27"/>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c r="BA988" s="24"/>
      <c r="BB988" s="24"/>
      <c r="BC988" s="24"/>
      <c r="BD988" s="24"/>
      <c r="BE988" s="24"/>
      <c r="BF988" s="24"/>
      <c r="BG988" s="24"/>
      <c r="BH988" s="24"/>
      <c r="BI988" s="24"/>
      <c r="BJ988" s="24"/>
      <c r="BK988" s="24"/>
      <c r="BL988" s="24"/>
      <c r="BM988" s="24"/>
      <c r="BN988" s="24"/>
      <c r="BO988" s="24"/>
      <c r="BP988" s="24"/>
      <c r="BQ988" s="24"/>
      <c r="BR988" s="24"/>
      <c r="BS988" s="24"/>
      <c r="BT988" s="24"/>
      <c r="BU988" s="24"/>
      <c r="BV988" s="24"/>
      <c r="BW988" s="24"/>
      <c r="BX988" s="24"/>
      <c r="BY988" s="24"/>
      <c r="BZ988" s="24"/>
      <c r="CA988" s="24"/>
      <c r="CB988" s="24"/>
      <c r="CC988" s="24"/>
      <c r="CD988" s="24"/>
    </row>
    <row r="989" spans="2:82" ht="16.5" customHeight="1" x14ac:dyDescent="0.3">
      <c r="B989" s="26"/>
      <c r="C989" s="26"/>
      <c r="D989" s="26"/>
      <c r="E989" s="26"/>
      <c r="F989" s="26"/>
      <c r="G989" s="26"/>
      <c r="H989" s="24"/>
      <c r="I989" s="27"/>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c r="BA989" s="24"/>
      <c r="BB989" s="24"/>
      <c r="BC989" s="24"/>
      <c r="BD989" s="24"/>
      <c r="BE989" s="24"/>
      <c r="BF989" s="24"/>
      <c r="BG989" s="24"/>
      <c r="BH989" s="24"/>
      <c r="BI989" s="24"/>
      <c r="BJ989" s="24"/>
      <c r="BK989" s="24"/>
      <c r="BL989" s="24"/>
      <c r="BM989" s="24"/>
      <c r="BN989" s="24"/>
      <c r="BO989" s="24"/>
      <c r="BP989" s="24"/>
      <c r="BQ989" s="24"/>
      <c r="BR989" s="24"/>
      <c r="BS989" s="24"/>
      <c r="BT989" s="24"/>
      <c r="BU989" s="24"/>
      <c r="BV989" s="24"/>
      <c r="BW989" s="24"/>
      <c r="BX989" s="24"/>
      <c r="BY989" s="24"/>
      <c r="BZ989" s="24"/>
      <c r="CA989" s="24"/>
      <c r="CB989" s="24"/>
      <c r="CC989" s="24"/>
      <c r="CD989" s="24"/>
    </row>
    <row r="990" spans="2:82" ht="16.5" customHeight="1" x14ac:dyDescent="0.3">
      <c r="B990" s="26"/>
      <c r="C990" s="26"/>
      <c r="D990" s="26"/>
      <c r="E990" s="26"/>
      <c r="F990" s="26"/>
      <c r="G990" s="26"/>
      <c r="H990" s="24"/>
      <c r="I990" s="27"/>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c r="BA990" s="24"/>
      <c r="BB990" s="24"/>
      <c r="BC990" s="24"/>
      <c r="BD990" s="24"/>
      <c r="BE990" s="24"/>
      <c r="BF990" s="24"/>
      <c r="BG990" s="24"/>
      <c r="BH990" s="24"/>
      <c r="BI990" s="24"/>
      <c r="BJ990" s="24"/>
      <c r="BK990" s="24"/>
      <c r="BL990" s="24"/>
      <c r="BM990" s="24"/>
      <c r="BN990" s="24"/>
      <c r="BO990" s="24"/>
      <c r="BP990" s="24"/>
      <c r="BQ990" s="24"/>
      <c r="BR990" s="24"/>
      <c r="BS990" s="24"/>
      <c r="BT990" s="24"/>
      <c r="BU990" s="24"/>
      <c r="BV990" s="24"/>
      <c r="BW990" s="24"/>
      <c r="BX990" s="24"/>
      <c r="BY990" s="24"/>
      <c r="BZ990" s="24"/>
      <c r="CA990" s="24"/>
      <c r="CB990" s="24"/>
      <c r="CC990" s="24"/>
      <c r="CD990" s="24"/>
    </row>
    <row r="991" spans="2:82" ht="16.5" customHeight="1" x14ac:dyDescent="0.3">
      <c r="B991" s="26"/>
      <c r="C991" s="26"/>
      <c r="D991" s="26"/>
      <c r="E991" s="26"/>
      <c r="F991" s="26"/>
      <c r="G991" s="26"/>
      <c r="H991" s="24"/>
      <c r="I991" s="27"/>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c r="BC991" s="24"/>
      <c r="BD991" s="24"/>
      <c r="BE991" s="24"/>
      <c r="BF991" s="24"/>
      <c r="BG991" s="24"/>
      <c r="BH991" s="24"/>
      <c r="BI991" s="24"/>
      <c r="BJ991" s="24"/>
      <c r="BK991" s="24"/>
      <c r="BL991" s="24"/>
      <c r="BM991" s="24"/>
      <c r="BN991" s="24"/>
      <c r="BO991" s="24"/>
      <c r="BP991" s="24"/>
      <c r="BQ991" s="24"/>
      <c r="BR991" s="24"/>
      <c r="BS991" s="24"/>
      <c r="BT991" s="24"/>
      <c r="BU991" s="24"/>
      <c r="BV991" s="24"/>
      <c r="BW991" s="24"/>
      <c r="BX991" s="24"/>
      <c r="BY991" s="24"/>
      <c r="BZ991" s="24"/>
      <c r="CA991" s="24"/>
      <c r="CB991" s="24"/>
      <c r="CC991" s="24"/>
      <c r="CD991" s="24"/>
    </row>
    <row r="992" spans="2:82" ht="16.5" customHeight="1" x14ac:dyDescent="0.3">
      <c r="B992" s="26"/>
      <c r="C992" s="26"/>
      <c r="D992" s="26"/>
      <c r="E992" s="26"/>
      <c r="F992" s="26"/>
      <c r="G992" s="26"/>
      <c r="H992" s="24"/>
      <c r="I992" s="27"/>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c r="BA992" s="24"/>
      <c r="BB992" s="24"/>
      <c r="BC992" s="24"/>
      <c r="BD992" s="24"/>
      <c r="BE992" s="24"/>
      <c r="BF992" s="24"/>
      <c r="BG992" s="24"/>
      <c r="BH992" s="24"/>
      <c r="BI992" s="24"/>
      <c r="BJ992" s="24"/>
      <c r="BK992" s="24"/>
      <c r="BL992" s="24"/>
      <c r="BM992" s="24"/>
      <c r="BN992" s="24"/>
      <c r="BO992" s="24"/>
      <c r="BP992" s="24"/>
      <c r="BQ992" s="24"/>
      <c r="BR992" s="24"/>
      <c r="BS992" s="24"/>
      <c r="BT992" s="24"/>
      <c r="BU992" s="24"/>
      <c r="BV992" s="24"/>
      <c r="BW992" s="24"/>
      <c r="BX992" s="24"/>
      <c r="BY992" s="24"/>
      <c r="BZ992" s="24"/>
      <c r="CA992" s="24"/>
      <c r="CB992" s="24"/>
      <c r="CC992" s="24"/>
      <c r="CD992" s="24"/>
    </row>
    <row r="993" spans="2:82" ht="16.5" customHeight="1" x14ac:dyDescent="0.3">
      <c r="B993" s="26"/>
      <c r="C993" s="26"/>
      <c r="D993" s="26"/>
      <c r="E993" s="26"/>
      <c r="F993" s="26"/>
      <c r="G993" s="26"/>
      <c r="H993" s="24"/>
      <c r="I993" s="27"/>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c r="BC993" s="24"/>
      <c r="BD993" s="24"/>
      <c r="BE993" s="24"/>
      <c r="BF993" s="24"/>
      <c r="BG993" s="24"/>
      <c r="BH993" s="24"/>
      <c r="BI993" s="24"/>
      <c r="BJ993" s="24"/>
      <c r="BK993" s="24"/>
      <c r="BL993" s="24"/>
      <c r="BM993" s="24"/>
      <c r="BN993" s="24"/>
      <c r="BO993" s="24"/>
      <c r="BP993" s="24"/>
      <c r="BQ993" s="24"/>
      <c r="BR993" s="24"/>
      <c r="BS993" s="24"/>
      <c r="BT993" s="24"/>
      <c r="BU993" s="24"/>
      <c r="BV993" s="24"/>
      <c r="BW993" s="24"/>
      <c r="BX993" s="24"/>
      <c r="BY993" s="24"/>
      <c r="BZ993" s="24"/>
      <c r="CA993" s="24"/>
      <c r="CB993" s="24"/>
      <c r="CC993" s="24"/>
      <c r="CD993" s="24"/>
    </row>
    <row r="994" spans="2:82" ht="16.5" customHeight="1" x14ac:dyDescent="0.3">
      <c r="B994" s="26"/>
      <c r="C994" s="26"/>
      <c r="D994" s="26"/>
      <c r="E994" s="26"/>
      <c r="F994" s="26"/>
      <c r="G994" s="26"/>
      <c r="H994" s="24"/>
      <c r="I994" s="27"/>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c r="BC994" s="24"/>
      <c r="BD994" s="24"/>
      <c r="BE994" s="24"/>
      <c r="BF994" s="24"/>
      <c r="BG994" s="24"/>
      <c r="BH994" s="24"/>
      <c r="BI994" s="24"/>
      <c r="BJ994" s="24"/>
      <c r="BK994" s="24"/>
      <c r="BL994" s="24"/>
      <c r="BM994" s="24"/>
      <c r="BN994" s="24"/>
      <c r="BO994" s="24"/>
      <c r="BP994" s="24"/>
      <c r="BQ994" s="24"/>
      <c r="BR994" s="24"/>
      <c r="BS994" s="24"/>
      <c r="BT994" s="24"/>
      <c r="BU994" s="24"/>
      <c r="BV994" s="24"/>
      <c r="BW994" s="24"/>
      <c r="BX994" s="24"/>
      <c r="BY994" s="24"/>
      <c r="BZ994" s="24"/>
      <c r="CA994" s="24"/>
      <c r="CB994" s="24"/>
      <c r="CC994" s="24"/>
      <c r="CD994" s="24"/>
    </row>
    <row r="995" spans="2:82" ht="16.5" customHeight="1" x14ac:dyDescent="0.3">
      <c r="B995" s="26"/>
      <c r="C995" s="26"/>
      <c r="D995" s="26"/>
      <c r="E995" s="26"/>
      <c r="F995" s="26"/>
      <c r="G995" s="26"/>
      <c r="H995" s="24"/>
      <c r="I995" s="27"/>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c r="BA995" s="24"/>
      <c r="BB995" s="24"/>
      <c r="BC995" s="24"/>
      <c r="BD995" s="24"/>
      <c r="BE995" s="24"/>
      <c r="BF995" s="24"/>
      <c r="BG995" s="24"/>
      <c r="BH995" s="24"/>
      <c r="BI995" s="24"/>
      <c r="BJ995" s="24"/>
      <c r="BK995" s="24"/>
      <c r="BL995" s="24"/>
      <c r="BM995" s="24"/>
      <c r="BN995" s="24"/>
      <c r="BO995" s="24"/>
      <c r="BP995" s="24"/>
      <c r="BQ995" s="24"/>
      <c r="BR995" s="24"/>
      <c r="BS995" s="24"/>
      <c r="BT995" s="24"/>
      <c r="BU995" s="24"/>
      <c r="BV995" s="24"/>
      <c r="BW995" s="24"/>
      <c r="BX995" s="24"/>
      <c r="BY995" s="24"/>
      <c r="BZ995" s="24"/>
      <c r="CA995" s="24"/>
      <c r="CB995" s="24"/>
      <c r="CC995" s="24"/>
      <c r="CD995" s="24"/>
    </row>
    <row r="996" spans="2:82" ht="16.5" customHeight="1" x14ac:dyDescent="0.3">
      <c r="B996" s="26"/>
      <c r="C996" s="26"/>
      <c r="D996" s="26"/>
      <c r="E996" s="26"/>
      <c r="F996" s="26"/>
      <c r="G996" s="26"/>
      <c r="H996" s="24"/>
      <c r="I996" s="27"/>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c r="BA996" s="24"/>
      <c r="BB996" s="24"/>
      <c r="BC996" s="24"/>
      <c r="BD996" s="24"/>
      <c r="BE996" s="24"/>
      <c r="BF996" s="24"/>
      <c r="BG996" s="24"/>
      <c r="BH996" s="24"/>
      <c r="BI996" s="24"/>
      <c r="BJ996" s="24"/>
      <c r="BK996" s="24"/>
      <c r="BL996" s="24"/>
      <c r="BM996" s="24"/>
      <c r="BN996" s="24"/>
      <c r="BO996" s="24"/>
      <c r="BP996" s="24"/>
      <c r="BQ996" s="24"/>
      <c r="BR996" s="24"/>
      <c r="BS996" s="24"/>
      <c r="BT996" s="24"/>
      <c r="BU996" s="24"/>
      <c r="BV996" s="24"/>
      <c r="BW996" s="24"/>
      <c r="BX996" s="24"/>
      <c r="BY996" s="24"/>
      <c r="BZ996" s="24"/>
      <c r="CA996" s="24"/>
      <c r="CB996" s="24"/>
      <c r="CC996" s="24"/>
      <c r="CD996" s="24"/>
    </row>
    <row r="997" spans="2:82" ht="16.5" customHeight="1" x14ac:dyDescent="0.3">
      <c r="B997" s="26"/>
      <c r="C997" s="26"/>
      <c r="D997" s="26"/>
      <c r="E997" s="26"/>
      <c r="F997" s="26"/>
      <c r="G997" s="26"/>
      <c r="H997" s="24"/>
      <c r="I997" s="27"/>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c r="BA997" s="24"/>
      <c r="BB997" s="24"/>
      <c r="BC997" s="24"/>
      <c r="BD997" s="24"/>
      <c r="BE997" s="24"/>
      <c r="BF997" s="24"/>
      <c r="BG997" s="24"/>
      <c r="BH997" s="24"/>
      <c r="BI997" s="24"/>
      <c r="BJ997" s="24"/>
      <c r="BK997" s="24"/>
      <c r="BL997" s="24"/>
      <c r="BM997" s="24"/>
      <c r="BN997" s="24"/>
      <c r="BO997" s="24"/>
      <c r="BP997" s="24"/>
      <c r="BQ997" s="24"/>
      <c r="BR997" s="24"/>
      <c r="BS997" s="24"/>
      <c r="BT997" s="24"/>
      <c r="BU997" s="24"/>
      <c r="BV997" s="24"/>
      <c r="BW997" s="24"/>
      <c r="BX997" s="24"/>
      <c r="BY997" s="24"/>
      <c r="BZ997" s="24"/>
      <c r="CA997" s="24"/>
      <c r="CB997" s="24"/>
      <c r="CC997" s="24"/>
      <c r="CD997" s="24"/>
    </row>
    <row r="998" spans="2:82" ht="16.5" customHeight="1" x14ac:dyDescent="0.3">
      <c r="B998" s="26"/>
      <c r="C998" s="26"/>
      <c r="D998" s="26"/>
      <c r="E998" s="26"/>
      <c r="F998" s="26"/>
      <c r="G998" s="26"/>
      <c r="H998" s="24"/>
      <c r="I998" s="27"/>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24"/>
      <c r="AH998" s="24"/>
      <c r="AI998" s="24"/>
      <c r="AJ998" s="24"/>
      <c r="AK998" s="24"/>
      <c r="AL998" s="24"/>
      <c r="AM998" s="24"/>
      <c r="AN998" s="24"/>
      <c r="AO998" s="24"/>
      <c r="AP998" s="24"/>
      <c r="AQ998" s="24"/>
      <c r="AR998" s="24"/>
      <c r="AS998" s="24"/>
      <c r="AT998" s="24"/>
      <c r="AU998" s="24"/>
      <c r="AV998" s="24"/>
      <c r="AW998" s="24"/>
      <c r="AX998" s="24"/>
      <c r="AY998" s="24"/>
      <c r="AZ998" s="24"/>
      <c r="BA998" s="24"/>
      <c r="BB998" s="24"/>
      <c r="BC998" s="24"/>
      <c r="BD998" s="24"/>
      <c r="BE998" s="24"/>
      <c r="BF998" s="24"/>
      <c r="BG998" s="24"/>
      <c r="BH998" s="24"/>
      <c r="BI998" s="24"/>
      <c r="BJ998" s="24"/>
      <c r="BK998" s="24"/>
      <c r="BL998" s="24"/>
      <c r="BM998" s="24"/>
      <c r="BN998" s="24"/>
      <c r="BO998" s="24"/>
      <c r="BP998" s="24"/>
      <c r="BQ998" s="24"/>
      <c r="BR998" s="24"/>
      <c r="BS998" s="24"/>
      <c r="BT998" s="24"/>
      <c r="BU998" s="24"/>
      <c r="BV998" s="24"/>
      <c r="BW998" s="24"/>
      <c r="BX998" s="24"/>
      <c r="BY998" s="24"/>
      <c r="BZ998" s="24"/>
      <c r="CA998" s="24"/>
      <c r="CB998" s="24"/>
      <c r="CC998" s="24"/>
      <c r="CD998" s="24"/>
    </row>
    <row r="999" spans="2:82" ht="16.5" customHeight="1" x14ac:dyDescent="0.3">
      <c r="B999" s="26"/>
      <c r="C999" s="26"/>
      <c r="D999" s="26"/>
      <c r="E999" s="26"/>
      <c r="F999" s="26"/>
      <c r="G999" s="26"/>
      <c r="H999" s="24"/>
      <c r="I999" s="27"/>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24"/>
      <c r="AH999" s="24"/>
      <c r="AI999" s="24"/>
      <c r="AJ999" s="24"/>
      <c r="AK999" s="24"/>
      <c r="AL999" s="24"/>
      <c r="AM999" s="24"/>
      <c r="AN999" s="24"/>
      <c r="AO999" s="24"/>
      <c r="AP999" s="24"/>
      <c r="AQ999" s="24"/>
      <c r="AR999" s="24"/>
      <c r="AS999" s="24"/>
      <c r="AT999" s="24"/>
      <c r="AU999" s="24"/>
      <c r="AV999" s="24"/>
      <c r="AW999" s="24"/>
      <c r="AX999" s="24"/>
      <c r="AY999" s="24"/>
      <c r="AZ999" s="24"/>
      <c r="BA999" s="24"/>
      <c r="BB999" s="24"/>
      <c r="BC999" s="24"/>
      <c r="BD999" s="24"/>
      <c r="BE999" s="24"/>
      <c r="BF999" s="24"/>
      <c r="BG999" s="24"/>
      <c r="BH999" s="24"/>
      <c r="BI999" s="24"/>
      <c r="BJ999" s="24"/>
      <c r="BK999" s="24"/>
      <c r="BL999" s="24"/>
      <c r="BM999" s="24"/>
      <c r="BN999" s="24"/>
      <c r="BO999" s="24"/>
      <c r="BP999" s="24"/>
      <c r="BQ999" s="24"/>
      <c r="BR999" s="24"/>
      <c r="BS999" s="24"/>
      <c r="BT999" s="24"/>
      <c r="BU999" s="24"/>
      <c r="BV999" s="24"/>
      <c r="BW999" s="24"/>
      <c r="BX999" s="24"/>
      <c r="BY999" s="24"/>
      <c r="BZ999" s="24"/>
      <c r="CA999" s="24"/>
      <c r="CB999" s="24"/>
      <c r="CC999" s="24"/>
      <c r="CD999" s="24"/>
    </row>
    <row r="1000" spans="2:82" ht="16.5" customHeight="1" x14ac:dyDescent="0.3">
      <c r="B1000" s="26"/>
      <c r="C1000" s="26"/>
      <c r="D1000" s="26"/>
      <c r="E1000" s="26"/>
      <c r="F1000" s="26"/>
      <c r="G1000" s="26"/>
      <c r="H1000" s="24"/>
      <c r="I1000" s="27"/>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c r="AL1000" s="24"/>
      <c r="AM1000" s="24"/>
      <c r="AN1000" s="24"/>
      <c r="AO1000" s="24"/>
      <c r="AP1000" s="24"/>
      <c r="AQ1000" s="24"/>
      <c r="AR1000" s="24"/>
      <c r="AS1000" s="24"/>
      <c r="AT1000" s="24"/>
      <c r="AU1000" s="24"/>
      <c r="AV1000" s="24"/>
      <c r="AW1000" s="24"/>
      <c r="AX1000" s="24"/>
      <c r="AY1000" s="24"/>
      <c r="AZ1000" s="24"/>
      <c r="BA1000" s="24"/>
      <c r="BB1000" s="24"/>
      <c r="BC1000" s="24"/>
      <c r="BD1000" s="24"/>
      <c r="BE1000" s="24"/>
      <c r="BF1000" s="24"/>
      <c r="BG1000" s="24"/>
      <c r="BH1000" s="24"/>
      <c r="BI1000" s="24"/>
      <c r="BJ1000" s="24"/>
      <c r="BK1000" s="24"/>
      <c r="BL1000" s="24"/>
      <c r="BM1000" s="24"/>
      <c r="BN1000" s="24"/>
      <c r="BO1000" s="24"/>
      <c r="BP1000" s="24"/>
      <c r="BQ1000" s="24"/>
      <c r="BR1000" s="24"/>
      <c r="BS1000" s="24"/>
      <c r="BT1000" s="24"/>
      <c r="BU1000" s="24"/>
      <c r="BV1000" s="24"/>
      <c r="BW1000" s="24"/>
      <c r="BX1000" s="24"/>
      <c r="BY1000" s="24"/>
      <c r="BZ1000" s="24"/>
      <c r="CA1000" s="24"/>
      <c r="CB1000" s="24"/>
      <c r="CC1000" s="24"/>
      <c r="CD1000" s="24"/>
    </row>
    <row r="1001" spans="2:82" ht="16.5" customHeight="1" x14ac:dyDescent="0.3">
      <c r="B1001" s="26"/>
      <c r="C1001" s="26"/>
      <c r="D1001" s="26"/>
      <c r="E1001" s="26"/>
      <c r="F1001" s="26"/>
      <c r="G1001" s="26"/>
      <c r="H1001" s="24"/>
      <c r="I1001" s="27"/>
      <c r="J1001" s="24"/>
      <c r="K1001" s="24"/>
      <c r="L1001" s="24"/>
      <c r="M1001" s="24"/>
      <c r="N1001" s="24"/>
      <c r="O1001" s="24"/>
      <c r="P1001" s="24"/>
      <c r="Q1001" s="24"/>
      <c r="R1001" s="24"/>
      <c r="S1001" s="24"/>
      <c r="T1001" s="24"/>
      <c r="U1001" s="24"/>
      <c r="V1001" s="24"/>
      <c r="W1001" s="24"/>
      <c r="X1001" s="24"/>
      <c r="Y1001" s="24"/>
      <c r="Z1001" s="24"/>
      <c r="AA1001" s="24"/>
      <c r="AB1001" s="24"/>
      <c r="AC1001" s="24"/>
      <c r="AD1001" s="24"/>
      <c r="AE1001" s="24"/>
      <c r="AF1001" s="24"/>
      <c r="AG1001" s="24"/>
      <c r="AH1001" s="24"/>
      <c r="AI1001" s="24"/>
      <c r="AJ1001" s="24"/>
      <c r="AK1001" s="24"/>
      <c r="AL1001" s="24"/>
      <c r="AM1001" s="24"/>
      <c r="AN1001" s="24"/>
      <c r="AO1001" s="24"/>
      <c r="AP1001" s="24"/>
      <c r="AQ1001" s="24"/>
      <c r="AR1001" s="24"/>
      <c r="AS1001" s="24"/>
      <c r="AT1001" s="24"/>
      <c r="AU1001" s="24"/>
      <c r="AV1001" s="24"/>
      <c r="AW1001" s="24"/>
      <c r="AX1001" s="24"/>
      <c r="AY1001" s="24"/>
      <c r="AZ1001" s="24"/>
      <c r="BA1001" s="24"/>
      <c r="BB1001" s="24"/>
      <c r="BC1001" s="24"/>
      <c r="BD1001" s="24"/>
      <c r="BE1001" s="24"/>
      <c r="BF1001" s="24"/>
      <c r="BG1001" s="24"/>
      <c r="BH1001" s="24"/>
      <c r="BI1001" s="24"/>
      <c r="BJ1001" s="24"/>
      <c r="BK1001" s="24"/>
      <c r="BL1001" s="24"/>
      <c r="BM1001" s="24"/>
      <c r="BN1001" s="24"/>
      <c r="BO1001" s="24"/>
      <c r="BP1001" s="24"/>
      <c r="BQ1001" s="24"/>
      <c r="BR1001" s="24"/>
      <c r="BS1001" s="24"/>
      <c r="BT1001" s="24"/>
      <c r="BU1001" s="24"/>
      <c r="BV1001" s="24"/>
      <c r="BW1001" s="24"/>
      <c r="BX1001" s="24"/>
      <c r="BY1001" s="24"/>
      <c r="BZ1001" s="24"/>
      <c r="CA1001" s="24"/>
      <c r="CB1001" s="24"/>
      <c r="CC1001" s="24"/>
      <c r="CD1001" s="24"/>
    </row>
    <row r="1002" spans="2:82" ht="16.5" customHeight="1" x14ac:dyDescent="0.3">
      <c r="B1002" s="26"/>
      <c r="C1002" s="26"/>
      <c r="D1002" s="26"/>
      <c r="E1002" s="26"/>
      <c r="F1002" s="26"/>
      <c r="G1002" s="26"/>
      <c r="H1002" s="24"/>
      <c r="I1002" s="27"/>
      <c r="J1002" s="24"/>
      <c r="K1002" s="24"/>
      <c r="L1002" s="24"/>
      <c r="M1002" s="24"/>
      <c r="N1002" s="24"/>
      <c r="O1002" s="24"/>
      <c r="P1002" s="24"/>
      <c r="Q1002" s="24"/>
      <c r="R1002" s="24"/>
      <c r="S1002" s="24"/>
      <c r="T1002" s="24"/>
      <c r="U1002" s="24"/>
      <c r="V1002" s="24"/>
      <c r="W1002" s="24"/>
      <c r="X1002" s="24"/>
      <c r="Y1002" s="24"/>
      <c r="Z1002" s="24"/>
      <c r="AA1002" s="24"/>
      <c r="AB1002" s="24"/>
      <c r="AC1002" s="24"/>
      <c r="AD1002" s="24"/>
      <c r="AE1002" s="24"/>
      <c r="AF1002" s="24"/>
      <c r="AG1002" s="24"/>
      <c r="AH1002" s="24"/>
      <c r="AI1002" s="24"/>
      <c r="AJ1002" s="24"/>
      <c r="AK1002" s="24"/>
      <c r="AL1002" s="24"/>
      <c r="AM1002" s="24"/>
      <c r="AN1002" s="24"/>
      <c r="AO1002" s="24"/>
      <c r="AP1002" s="24"/>
      <c r="AQ1002" s="24"/>
      <c r="AR1002" s="24"/>
      <c r="AS1002" s="24"/>
      <c r="AT1002" s="24"/>
      <c r="AU1002" s="24"/>
      <c r="AV1002" s="24"/>
      <c r="AW1002" s="24"/>
      <c r="AX1002" s="24"/>
      <c r="AY1002" s="24"/>
      <c r="AZ1002" s="24"/>
      <c r="BA1002" s="24"/>
      <c r="BB1002" s="24"/>
      <c r="BC1002" s="24"/>
      <c r="BD1002" s="24"/>
      <c r="BE1002" s="24"/>
      <c r="BF1002" s="24"/>
      <c r="BG1002" s="24"/>
      <c r="BH1002" s="24"/>
      <c r="BI1002" s="24"/>
      <c r="BJ1002" s="24"/>
      <c r="BK1002" s="24"/>
      <c r="BL1002" s="24"/>
      <c r="BM1002" s="24"/>
      <c r="BN1002" s="24"/>
      <c r="BO1002" s="24"/>
      <c r="BP1002" s="24"/>
      <c r="BQ1002" s="24"/>
      <c r="BR1002" s="24"/>
      <c r="BS1002" s="24"/>
      <c r="BT1002" s="24"/>
      <c r="BU1002" s="24"/>
      <c r="BV1002" s="24"/>
      <c r="BW1002" s="24"/>
      <c r="BX1002" s="24"/>
      <c r="BY1002" s="24"/>
      <c r="BZ1002" s="24"/>
      <c r="CA1002" s="24"/>
      <c r="CB1002" s="24"/>
      <c r="CC1002" s="24"/>
      <c r="CD1002" s="24"/>
    </row>
    <row r="1003" spans="2:82" ht="16.5" customHeight="1" x14ac:dyDescent="0.3">
      <c r="B1003" s="26"/>
      <c r="C1003" s="26"/>
      <c r="D1003" s="26"/>
      <c r="E1003" s="26"/>
      <c r="F1003" s="26"/>
      <c r="G1003" s="26"/>
      <c r="H1003" s="24"/>
      <c r="I1003" s="27"/>
      <c r="J1003" s="24"/>
      <c r="K1003" s="24"/>
      <c r="L1003" s="24"/>
      <c r="M1003" s="24"/>
      <c r="N1003" s="24"/>
      <c r="O1003" s="24"/>
      <c r="P1003" s="24"/>
      <c r="Q1003" s="24"/>
      <c r="R1003" s="24"/>
      <c r="S1003" s="24"/>
      <c r="T1003" s="24"/>
      <c r="U1003" s="24"/>
      <c r="V1003" s="24"/>
      <c r="W1003" s="24"/>
      <c r="X1003" s="24"/>
      <c r="Y1003" s="24"/>
      <c r="Z1003" s="24"/>
      <c r="AA1003" s="24"/>
      <c r="AB1003" s="24"/>
      <c r="AC1003" s="24"/>
      <c r="AD1003" s="24"/>
      <c r="AE1003" s="24"/>
      <c r="AF1003" s="24"/>
      <c r="AG1003" s="24"/>
      <c r="AH1003" s="24"/>
      <c r="AI1003" s="24"/>
      <c r="AJ1003" s="24"/>
      <c r="AK1003" s="24"/>
      <c r="AL1003" s="24"/>
      <c r="AM1003" s="24"/>
      <c r="AN1003" s="24"/>
      <c r="AO1003" s="24"/>
      <c r="AP1003" s="24"/>
      <c r="AQ1003" s="24"/>
      <c r="AR1003" s="24"/>
      <c r="AS1003" s="24"/>
      <c r="AT1003" s="24"/>
      <c r="AU1003" s="24"/>
      <c r="AV1003" s="24"/>
      <c r="AW1003" s="24"/>
      <c r="AX1003" s="24"/>
      <c r="AY1003" s="24"/>
      <c r="AZ1003" s="24"/>
      <c r="BA1003" s="24"/>
      <c r="BB1003" s="24"/>
      <c r="BC1003" s="24"/>
      <c r="BD1003" s="24"/>
      <c r="BE1003" s="24"/>
      <c r="BF1003" s="24"/>
      <c r="BG1003" s="24"/>
      <c r="BH1003" s="24"/>
      <c r="BI1003" s="24"/>
      <c r="BJ1003" s="24"/>
      <c r="BK1003" s="24"/>
      <c r="BL1003" s="24"/>
      <c r="BM1003" s="24"/>
      <c r="BN1003" s="24"/>
      <c r="BO1003" s="24"/>
      <c r="BP1003" s="24"/>
      <c r="BQ1003" s="24"/>
      <c r="BR1003" s="24"/>
      <c r="BS1003" s="24"/>
      <c r="BT1003" s="24"/>
      <c r="BU1003" s="24"/>
      <c r="BV1003" s="24"/>
      <c r="BW1003" s="24"/>
      <c r="BX1003" s="24"/>
      <c r="BY1003" s="24"/>
      <c r="BZ1003" s="24"/>
      <c r="CA1003" s="24"/>
      <c r="CB1003" s="24"/>
      <c r="CC1003" s="24"/>
      <c r="CD1003" s="24"/>
    </row>
    <row r="1004" spans="2:82" ht="16.5" customHeight="1" x14ac:dyDescent="0.3">
      <c r="B1004" s="26"/>
      <c r="C1004" s="26"/>
      <c r="D1004" s="26"/>
      <c r="E1004" s="26"/>
      <c r="F1004" s="26"/>
      <c r="G1004" s="26"/>
      <c r="H1004" s="24"/>
      <c r="I1004" s="27"/>
      <c r="J1004" s="24"/>
      <c r="K1004" s="24"/>
      <c r="L1004" s="24"/>
      <c r="M1004" s="24"/>
      <c r="N1004" s="24"/>
      <c r="O1004" s="24"/>
      <c r="P1004" s="24"/>
      <c r="Q1004" s="24"/>
      <c r="R1004" s="24"/>
      <c r="S1004" s="24"/>
      <c r="T1004" s="24"/>
      <c r="U1004" s="24"/>
      <c r="V1004" s="24"/>
      <c r="W1004" s="24"/>
      <c r="X1004" s="24"/>
      <c r="Y1004" s="24"/>
      <c r="Z1004" s="24"/>
      <c r="AA1004" s="24"/>
      <c r="AB1004" s="24"/>
      <c r="AC1004" s="24"/>
      <c r="AD1004" s="24"/>
      <c r="AE1004" s="24"/>
      <c r="AF1004" s="24"/>
      <c r="AG1004" s="24"/>
      <c r="AH1004" s="24"/>
      <c r="AI1004" s="24"/>
      <c r="AJ1004" s="24"/>
      <c r="AK1004" s="24"/>
      <c r="AL1004" s="24"/>
      <c r="AM1004" s="24"/>
      <c r="AN1004" s="24"/>
      <c r="AO1004" s="24"/>
      <c r="AP1004" s="24"/>
      <c r="AQ1004" s="24"/>
      <c r="AR1004" s="24"/>
      <c r="AS1004" s="24"/>
      <c r="AT1004" s="24"/>
      <c r="AU1004" s="24"/>
      <c r="AV1004" s="24"/>
      <c r="AW1004" s="24"/>
      <c r="AX1004" s="24"/>
      <c r="AY1004" s="24"/>
      <c r="AZ1004" s="24"/>
      <c r="BA1004" s="24"/>
      <c r="BB1004" s="24"/>
      <c r="BC1004" s="24"/>
      <c r="BD1004" s="24"/>
      <c r="BE1004" s="24"/>
      <c r="BF1004" s="24"/>
      <c r="BG1004" s="24"/>
      <c r="BH1004" s="24"/>
      <c r="BI1004" s="24"/>
      <c r="BJ1004" s="24"/>
      <c r="BK1004" s="24"/>
      <c r="BL1004" s="24"/>
      <c r="BM1004" s="24"/>
      <c r="BN1004" s="24"/>
      <c r="BO1004" s="24"/>
      <c r="BP1004" s="24"/>
      <c r="BQ1004" s="24"/>
      <c r="BR1004" s="24"/>
      <c r="BS1004" s="24"/>
      <c r="BT1004" s="24"/>
      <c r="BU1004" s="24"/>
      <c r="BV1004" s="24"/>
      <c r="BW1004" s="24"/>
      <c r="BX1004" s="24"/>
      <c r="BY1004" s="24"/>
      <c r="BZ1004" s="24"/>
      <c r="CA1004" s="24"/>
      <c r="CB1004" s="24"/>
      <c r="CC1004" s="24"/>
      <c r="CD1004" s="24"/>
    </row>
    <row r="1005" spans="2:82" ht="16.5" customHeight="1" x14ac:dyDescent="0.3">
      <c r="B1005" s="26"/>
      <c r="C1005" s="26"/>
      <c r="D1005" s="26"/>
      <c r="E1005" s="26"/>
      <c r="F1005" s="26"/>
      <c r="G1005" s="26"/>
      <c r="H1005" s="24"/>
      <c r="I1005" s="27"/>
      <c r="J1005" s="24"/>
      <c r="K1005" s="24"/>
      <c r="L1005" s="24"/>
      <c r="M1005" s="24"/>
      <c r="N1005" s="24"/>
      <c r="O1005" s="24"/>
      <c r="P1005" s="24"/>
      <c r="Q1005" s="24"/>
      <c r="R1005" s="24"/>
      <c r="S1005" s="24"/>
      <c r="T1005" s="24"/>
      <c r="U1005" s="24"/>
      <c r="V1005" s="24"/>
      <c r="W1005" s="24"/>
      <c r="X1005" s="24"/>
      <c r="Y1005" s="24"/>
      <c r="Z1005" s="24"/>
      <c r="AA1005" s="24"/>
      <c r="AB1005" s="24"/>
      <c r="AC1005" s="24"/>
      <c r="AD1005" s="24"/>
      <c r="AE1005" s="24"/>
      <c r="AF1005" s="24"/>
      <c r="AG1005" s="24"/>
      <c r="AH1005" s="24"/>
      <c r="AI1005" s="24"/>
      <c r="AJ1005" s="24"/>
      <c r="AK1005" s="24"/>
      <c r="AL1005" s="24"/>
      <c r="AM1005" s="24"/>
      <c r="AN1005" s="24"/>
      <c r="AO1005" s="24"/>
      <c r="AP1005" s="24"/>
      <c r="AQ1005" s="24"/>
      <c r="AR1005" s="24"/>
      <c r="AS1005" s="24"/>
      <c r="AT1005" s="24"/>
      <c r="AU1005" s="24"/>
      <c r="AV1005" s="24"/>
      <c r="AW1005" s="24"/>
      <c r="AX1005" s="24"/>
      <c r="AY1005" s="24"/>
      <c r="AZ1005" s="24"/>
      <c r="BA1005" s="24"/>
      <c r="BB1005" s="24"/>
      <c r="BC1005" s="24"/>
      <c r="BD1005" s="24"/>
      <c r="BE1005" s="24"/>
      <c r="BF1005" s="24"/>
      <c r="BG1005" s="24"/>
      <c r="BH1005" s="24"/>
      <c r="BI1005" s="24"/>
      <c r="BJ1005" s="24"/>
      <c r="BK1005" s="24"/>
      <c r="BL1005" s="24"/>
      <c r="BM1005" s="24"/>
      <c r="BN1005" s="24"/>
      <c r="BO1005" s="24"/>
      <c r="BP1005" s="24"/>
      <c r="BQ1005" s="24"/>
      <c r="BR1005" s="24"/>
      <c r="BS1005" s="24"/>
      <c r="BT1005" s="24"/>
      <c r="BU1005" s="24"/>
      <c r="BV1005" s="24"/>
      <c r="BW1005" s="24"/>
      <c r="BX1005" s="24"/>
      <c r="BY1005" s="24"/>
      <c r="BZ1005" s="24"/>
      <c r="CA1005" s="24"/>
      <c r="CB1005" s="24"/>
      <c r="CC1005" s="24"/>
      <c r="CD1005" s="24"/>
    </row>
    <row r="1006" spans="2:82" ht="16.5" customHeight="1" x14ac:dyDescent="0.3">
      <c r="B1006" s="26"/>
      <c r="C1006" s="26"/>
      <c r="D1006" s="26"/>
      <c r="E1006" s="26"/>
      <c r="F1006" s="26"/>
      <c r="G1006" s="26"/>
      <c r="H1006" s="24"/>
      <c r="I1006" s="27"/>
      <c r="J1006" s="24"/>
      <c r="K1006" s="24"/>
      <c r="L1006" s="24"/>
      <c r="M1006" s="24"/>
      <c r="N1006" s="24"/>
      <c r="O1006" s="24"/>
      <c r="P1006" s="24"/>
      <c r="Q1006" s="24"/>
      <c r="R1006" s="24"/>
      <c r="S1006" s="24"/>
      <c r="T1006" s="24"/>
      <c r="U1006" s="24"/>
      <c r="V1006" s="24"/>
      <c r="W1006" s="24"/>
      <c r="X1006" s="24"/>
      <c r="Y1006" s="24"/>
      <c r="Z1006" s="24"/>
      <c r="AA1006" s="24"/>
      <c r="AB1006" s="24"/>
      <c r="AC1006" s="24"/>
      <c r="AD1006" s="24"/>
      <c r="AE1006" s="24"/>
      <c r="AF1006" s="24"/>
      <c r="AG1006" s="24"/>
      <c r="AH1006" s="24"/>
      <c r="AI1006" s="24"/>
      <c r="AJ1006" s="24"/>
      <c r="AK1006" s="24"/>
      <c r="AL1006" s="24"/>
      <c r="AM1006" s="24"/>
      <c r="AN1006" s="24"/>
      <c r="AO1006" s="24"/>
      <c r="AP1006" s="24"/>
      <c r="AQ1006" s="24"/>
      <c r="AR1006" s="24"/>
      <c r="AS1006" s="24"/>
      <c r="AT1006" s="24"/>
      <c r="AU1006" s="24"/>
      <c r="AV1006" s="24"/>
      <c r="AW1006" s="24"/>
      <c r="AX1006" s="24"/>
      <c r="AY1006" s="24"/>
      <c r="AZ1006" s="24"/>
      <c r="BA1006" s="24"/>
      <c r="BB1006" s="24"/>
      <c r="BC1006" s="24"/>
      <c r="BD1006" s="24"/>
      <c r="BE1006" s="24"/>
      <c r="BF1006" s="24"/>
      <c r="BG1006" s="24"/>
      <c r="BH1006" s="24"/>
      <c r="BI1006" s="24"/>
      <c r="BJ1006" s="24"/>
      <c r="BK1006" s="24"/>
      <c r="BL1006" s="24"/>
      <c r="BM1006" s="24"/>
      <c r="BN1006" s="24"/>
      <c r="BO1006" s="24"/>
      <c r="BP1006" s="24"/>
      <c r="BQ1006" s="24"/>
      <c r="BR1006" s="24"/>
      <c r="BS1006" s="24"/>
      <c r="BT1006" s="24"/>
      <c r="BU1006" s="24"/>
      <c r="BV1006" s="24"/>
      <c r="BW1006" s="24"/>
      <c r="BX1006" s="24"/>
      <c r="BY1006" s="24"/>
      <c r="BZ1006" s="24"/>
      <c r="CA1006" s="24"/>
      <c r="CB1006" s="24"/>
      <c r="CC1006" s="24"/>
      <c r="CD1006" s="24"/>
    </row>
    <row r="1007" spans="2:82" ht="16.5" customHeight="1" x14ac:dyDescent="0.3">
      <c r="B1007" s="26"/>
      <c r="C1007" s="26"/>
      <c r="D1007" s="26"/>
      <c r="E1007" s="26"/>
      <c r="F1007" s="26"/>
      <c r="G1007" s="26"/>
      <c r="H1007" s="24"/>
      <c r="I1007" s="27"/>
      <c r="J1007" s="24"/>
      <c r="K1007" s="24"/>
      <c r="L1007" s="24"/>
      <c r="M1007" s="24"/>
      <c r="N1007" s="24"/>
      <c r="O1007" s="24"/>
      <c r="P1007" s="24"/>
      <c r="Q1007" s="24"/>
      <c r="R1007" s="24"/>
      <c r="S1007" s="24"/>
      <c r="T1007" s="24"/>
      <c r="U1007" s="24"/>
      <c r="V1007" s="24"/>
      <c r="W1007" s="24"/>
      <c r="X1007" s="24"/>
      <c r="Y1007" s="24"/>
      <c r="Z1007" s="24"/>
      <c r="AA1007" s="24"/>
      <c r="AB1007" s="24"/>
      <c r="AC1007" s="24"/>
      <c r="AD1007" s="24"/>
      <c r="AE1007" s="24"/>
      <c r="AF1007" s="24"/>
      <c r="AG1007" s="24"/>
      <c r="AH1007" s="24"/>
      <c r="AI1007" s="24"/>
      <c r="AJ1007" s="24"/>
      <c r="AK1007" s="24"/>
      <c r="AL1007" s="24"/>
      <c r="AM1007" s="24"/>
      <c r="AN1007" s="24"/>
      <c r="AO1007" s="24"/>
      <c r="AP1007" s="24"/>
      <c r="AQ1007" s="24"/>
      <c r="AR1007" s="24"/>
      <c r="AS1007" s="24"/>
      <c r="AT1007" s="24"/>
      <c r="AU1007" s="24"/>
      <c r="AV1007" s="24"/>
      <c r="AW1007" s="24"/>
      <c r="AX1007" s="24"/>
      <c r="AY1007" s="24"/>
      <c r="AZ1007" s="24"/>
      <c r="BA1007" s="24"/>
      <c r="BB1007" s="24"/>
      <c r="BC1007" s="24"/>
      <c r="BD1007" s="24"/>
      <c r="BE1007" s="24"/>
      <c r="BF1007" s="24"/>
      <c r="BG1007" s="24"/>
      <c r="BH1007" s="24"/>
      <c r="BI1007" s="24"/>
      <c r="BJ1007" s="24"/>
      <c r="BK1007" s="24"/>
      <c r="BL1007" s="24"/>
      <c r="BM1007" s="24"/>
      <c r="BN1007" s="24"/>
      <c r="BO1007" s="24"/>
      <c r="BP1007" s="24"/>
      <c r="BQ1007" s="24"/>
      <c r="BR1007" s="24"/>
      <c r="BS1007" s="24"/>
      <c r="BT1007" s="24"/>
      <c r="BU1007" s="24"/>
      <c r="BV1007" s="24"/>
      <c r="BW1007" s="24"/>
      <c r="BX1007" s="24"/>
      <c r="BY1007" s="24"/>
      <c r="BZ1007" s="24"/>
      <c r="CA1007" s="24"/>
      <c r="CB1007" s="24"/>
      <c r="CC1007" s="24"/>
      <c r="CD1007" s="24"/>
    </row>
    <row r="1008" spans="2:82" ht="16.5" customHeight="1" x14ac:dyDescent="0.3">
      <c r="B1008" s="26"/>
      <c r="C1008" s="26"/>
      <c r="D1008" s="26"/>
      <c r="E1008" s="26"/>
      <c r="F1008" s="26"/>
      <c r="G1008" s="26"/>
      <c r="H1008" s="24"/>
      <c r="I1008" s="27"/>
      <c r="J1008" s="24"/>
      <c r="K1008" s="24"/>
      <c r="L1008" s="24"/>
      <c r="M1008" s="24"/>
      <c r="N1008" s="24"/>
      <c r="O1008" s="24"/>
      <c r="P1008" s="24"/>
      <c r="Q1008" s="24"/>
      <c r="R1008" s="24"/>
      <c r="S1008" s="24"/>
      <c r="T1008" s="24"/>
      <c r="U1008" s="24"/>
      <c r="V1008" s="24"/>
      <c r="W1008" s="24"/>
      <c r="X1008" s="24"/>
      <c r="Y1008" s="24"/>
      <c r="Z1008" s="24"/>
      <c r="AA1008" s="24"/>
      <c r="AB1008" s="24"/>
      <c r="AC1008" s="24"/>
      <c r="AD1008" s="24"/>
      <c r="AE1008" s="24"/>
      <c r="AF1008" s="24"/>
      <c r="AG1008" s="24"/>
      <c r="AH1008" s="24"/>
      <c r="AI1008" s="24"/>
      <c r="AJ1008" s="24"/>
      <c r="AK1008" s="24"/>
      <c r="AL1008" s="24"/>
      <c r="AM1008" s="24"/>
      <c r="AN1008" s="24"/>
      <c r="AO1008" s="24"/>
      <c r="AP1008" s="24"/>
      <c r="AQ1008" s="24"/>
      <c r="AR1008" s="24"/>
      <c r="AS1008" s="24"/>
      <c r="AT1008" s="24"/>
      <c r="AU1008" s="24"/>
      <c r="AV1008" s="24"/>
      <c r="AW1008" s="24"/>
      <c r="AX1008" s="24"/>
      <c r="AY1008" s="24"/>
      <c r="AZ1008" s="24"/>
      <c r="BA1008" s="24"/>
      <c r="BB1008" s="24"/>
      <c r="BC1008" s="24"/>
      <c r="BD1008" s="24"/>
      <c r="BE1008" s="24"/>
      <c r="BF1008" s="24"/>
      <c r="BG1008" s="24"/>
      <c r="BH1008" s="24"/>
      <c r="BI1008" s="24"/>
      <c r="BJ1008" s="24"/>
      <c r="BK1008" s="24"/>
      <c r="BL1008" s="24"/>
      <c r="BM1008" s="24"/>
      <c r="BN1008" s="24"/>
      <c r="BO1008" s="24"/>
      <c r="BP1008" s="24"/>
      <c r="BQ1008" s="24"/>
      <c r="BR1008" s="24"/>
      <c r="BS1008" s="24"/>
      <c r="BT1008" s="24"/>
      <c r="BU1008" s="24"/>
      <c r="BV1008" s="24"/>
      <c r="BW1008" s="24"/>
      <c r="BX1008" s="24"/>
      <c r="BY1008" s="24"/>
      <c r="BZ1008" s="24"/>
      <c r="CA1008" s="24"/>
      <c r="CB1008" s="24"/>
      <c r="CC1008" s="24"/>
      <c r="CD1008" s="24"/>
    </row>
    <row r="1009" spans="2:82" ht="16.5" customHeight="1" x14ac:dyDescent="0.3">
      <c r="B1009" s="26"/>
      <c r="C1009" s="26"/>
      <c r="D1009" s="26"/>
      <c r="E1009" s="26"/>
      <c r="F1009" s="26"/>
      <c r="G1009" s="26"/>
      <c r="H1009" s="24"/>
      <c r="I1009" s="27"/>
      <c r="J1009" s="24"/>
      <c r="K1009" s="24"/>
      <c r="L1009" s="24"/>
      <c r="M1009" s="24"/>
      <c r="N1009" s="24"/>
      <c r="O1009" s="24"/>
      <c r="P1009" s="24"/>
      <c r="Q1009" s="24"/>
      <c r="R1009" s="24"/>
      <c r="S1009" s="24"/>
      <c r="T1009" s="24"/>
      <c r="U1009" s="24"/>
      <c r="V1009" s="24"/>
      <c r="W1009" s="24"/>
      <c r="X1009" s="24"/>
      <c r="Y1009" s="24"/>
      <c r="Z1009" s="24"/>
      <c r="AA1009" s="24"/>
      <c r="AB1009" s="24"/>
      <c r="AC1009" s="24"/>
      <c r="AD1009" s="24"/>
      <c r="AE1009" s="24"/>
      <c r="AF1009" s="24"/>
      <c r="AG1009" s="24"/>
      <c r="AH1009" s="24"/>
      <c r="AI1009" s="24"/>
      <c r="AJ1009" s="24"/>
      <c r="AK1009" s="24"/>
      <c r="AL1009" s="24"/>
      <c r="AM1009" s="24"/>
      <c r="AN1009" s="24"/>
      <c r="AO1009" s="24"/>
      <c r="AP1009" s="24"/>
      <c r="AQ1009" s="24"/>
      <c r="AR1009" s="24"/>
      <c r="AS1009" s="24"/>
      <c r="AT1009" s="24"/>
      <c r="AU1009" s="24"/>
      <c r="AV1009" s="24"/>
      <c r="AW1009" s="24"/>
      <c r="AX1009" s="24"/>
      <c r="AY1009" s="24"/>
      <c r="AZ1009" s="24"/>
      <c r="BA1009" s="24"/>
      <c r="BB1009" s="24"/>
      <c r="BC1009" s="24"/>
      <c r="BD1009" s="24"/>
      <c r="BE1009" s="24"/>
      <c r="BF1009" s="24"/>
      <c r="BG1009" s="24"/>
      <c r="BH1009" s="24"/>
      <c r="BI1009" s="24"/>
      <c r="BJ1009" s="24"/>
      <c r="BK1009" s="24"/>
      <c r="BL1009" s="24"/>
      <c r="BM1009" s="24"/>
      <c r="BN1009" s="24"/>
      <c r="BO1009" s="24"/>
      <c r="BP1009" s="24"/>
      <c r="BQ1009" s="24"/>
      <c r="BR1009" s="24"/>
      <c r="BS1009" s="24"/>
      <c r="BT1009" s="24"/>
      <c r="BU1009" s="24"/>
      <c r="BV1009" s="24"/>
      <c r="BW1009" s="24"/>
      <c r="BX1009" s="24"/>
      <c r="BY1009" s="24"/>
      <c r="BZ1009" s="24"/>
      <c r="CA1009" s="24"/>
      <c r="CB1009" s="24"/>
      <c r="CC1009" s="24"/>
      <c r="CD1009" s="24"/>
    </row>
    <row r="1010" spans="2:82" ht="16.5" customHeight="1" x14ac:dyDescent="0.3">
      <c r="B1010" s="26"/>
      <c r="C1010" s="26"/>
      <c r="D1010" s="26"/>
      <c r="E1010" s="26"/>
      <c r="F1010" s="26"/>
      <c r="G1010" s="26"/>
      <c r="H1010" s="24"/>
      <c r="I1010" s="27"/>
      <c r="J1010" s="24"/>
      <c r="K1010" s="24"/>
      <c r="L1010" s="24"/>
      <c r="M1010" s="24"/>
      <c r="N1010" s="24"/>
      <c r="O1010" s="24"/>
      <c r="P1010" s="24"/>
      <c r="Q1010" s="24"/>
      <c r="R1010" s="24"/>
      <c r="S1010" s="24"/>
      <c r="T1010" s="24"/>
      <c r="U1010" s="24"/>
      <c r="V1010" s="24"/>
      <c r="W1010" s="24"/>
      <c r="X1010" s="24"/>
      <c r="Y1010" s="24"/>
      <c r="Z1010" s="24"/>
      <c r="AA1010" s="24"/>
      <c r="AB1010" s="24"/>
      <c r="AC1010" s="24"/>
      <c r="AD1010" s="24"/>
      <c r="AE1010" s="24"/>
      <c r="AF1010" s="24"/>
      <c r="AG1010" s="24"/>
      <c r="AH1010" s="24"/>
      <c r="AI1010" s="24"/>
      <c r="AJ1010" s="24"/>
      <c r="AK1010" s="24"/>
      <c r="AL1010" s="24"/>
      <c r="AM1010" s="24"/>
      <c r="AN1010" s="24"/>
      <c r="AO1010" s="24"/>
      <c r="AP1010" s="24"/>
      <c r="AQ1010" s="24"/>
      <c r="AR1010" s="24"/>
      <c r="AS1010" s="24"/>
      <c r="AT1010" s="24"/>
      <c r="AU1010" s="24"/>
      <c r="AV1010" s="24"/>
      <c r="AW1010" s="24"/>
      <c r="AX1010" s="24"/>
      <c r="AY1010" s="24"/>
      <c r="AZ1010" s="24"/>
      <c r="BA1010" s="24"/>
      <c r="BB1010" s="24"/>
      <c r="BC1010" s="24"/>
      <c r="BD1010" s="24"/>
      <c r="BE1010" s="24"/>
      <c r="BF1010" s="24"/>
      <c r="BG1010" s="24"/>
      <c r="BH1010" s="24"/>
      <c r="BI1010" s="24"/>
      <c r="BJ1010" s="24"/>
      <c r="BK1010" s="24"/>
      <c r="BL1010" s="24"/>
      <c r="BM1010" s="24"/>
      <c r="BN1010" s="24"/>
      <c r="BO1010" s="24"/>
      <c r="BP1010" s="24"/>
      <c r="BQ1010" s="24"/>
      <c r="BR1010" s="24"/>
      <c r="BS1010" s="24"/>
      <c r="BT1010" s="24"/>
      <c r="BU1010" s="24"/>
      <c r="BV1010" s="24"/>
      <c r="BW1010" s="24"/>
      <c r="BX1010" s="24"/>
      <c r="BY1010" s="24"/>
      <c r="BZ1010" s="24"/>
      <c r="CA1010" s="24"/>
      <c r="CB1010" s="24"/>
      <c r="CC1010" s="24"/>
      <c r="CD1010" s="24"/>
    </row>
    <row r="1011" spans="2:82" ht="16.5" customHeight="1" x14ac:dyDescent="0.3">
      <c r="B1011" s="26"/>
      <c r="C1011" s="26"/>
      <c r="D1011" s="26"/>
      <c r="E1011" s="26"/>
      <c r="F1011" s="26"/>
      <c r="G1011" s="26"/>
      <c r="H1011" s="24"/>
      <c r="I1011" s="27"/>
      <c r="J1011" s="24"/>
      <c r="K1011" s="24"/>
      <c r="L1011" s="24"/>
      <c r="M1011" s="24"/>
      <c r="N1011" s="24"/>
      <c r="O1011" s="24"/>
      <c r="P1011" s="24"/>
      <c r="Q1011" s="24"/>
      <c r="R1011" s="24"/>
      <c r="S1011" s="24"/>
      <c r="T1011" s="24"/>
      <c r="U1011" s="24"/>
      <c r="V1011" s="24"/>
      <c r="W1011" s="24"/>
      <c r="X1011" s="24"/>
      <c r="Y1011" s="24"/>
      <c r="Z1011" s="24"/>
      <c r="AA1011" s="24"/>
      <c r="AB1011" s="24"/>
      <c r="AC1011" s="24"/>
      <c r="AD1011" s="24"/>
      <c r="AE1011" s="24"/>
      <c r="AF1011" s="24"/>
      <c r="AG1011" s="24"/>
      <c r="AH1011" s="24"/>
      <c r="AI1011" s="24"/>
      <c r="AJ1011" s="24"/>
      <c r="AK1011" s="24"/>
      <c r="AL1011" s="24"/>
      <c r="AM1011" s="24"/>
      <c r="AN1011" s="24"/>
      <c r="AO1011" s="24"/>
      <c r="AP1011" s="24"/>
      <c r="AQ1011" s="24"/>
      <c r="AR1011" s="24"/>
      <c r="AS1011" s="24"/>
      <c r="AT1011" s="24"/>
      <c r="AU1011" s="24"/>
      <c r="AV1011" s="24"/>
      <c r="AW1011" s="24"/>
      <c r="AX1011" s="24"/>
      <c r="AY1011" s="24"/>
      <c r="AZ1011" s="24"/>
      <c r="BA1011" s="24"/>
      <c r="BB1011" s="24"/>
      <c r="BC1011" s="24"/>
      <c r="BD1011" s="24"/>
      <c r="BE1011" s="24"/>
      <c r="BF1011" s="24"/>
      <c r="BG1011" s="24"/>
      <c r="BH1011" s="24"/>
      <c r="BI1011" s="24"/>
      <c r="BJ1011" s="24"/>
      <c r="BK1011" s="24"/>
      <c r="BL1011" s="24"/>
      <c r="BM1011" s="24"/>
      <c r="BN1011" s="24"/>
      <c r="BO1011" s="24"/>
      <c r="BP1011" s="24"/>
      <c r="BQ1011" s="24"/>
      <c r="BR1011" s="24"/>
      <c r="BS1011" s="24"/>
      <c r="BT1011" s="24"/>
      <c r="BU1011" s="24"/>
      <c r="BV1011" s="24"/>
      <c r="BW1011" s="24"/>
      <c r="BX1011" s="24"/>
      <c r="BY1011" s="24"/>
      <c r="BZ1011" s="24"/>
      <c r="CA1011" s="24"/>
      <c r="CB1011" s="24"/>
      <c r="CC1011" s="24"/>
      <c r="CD1011" s="24"/>
    </row>
    <row r="1012" spans="2:82" ht="16.5" customHeight="1" x14ac:dyDescent="0.3">
      <c r="B1012" s="26"/>
      <c r="C1012" s="26"/>
      <c r="D1012" s="26"/>
      <c r="E1012" s="26"/>
      <c r="F1012" s="26"/>
      <c r="G1012" s="26"/>
      <c r="H1012" s="24"/>
      <c r="I1012" s="27"/>
      <c r="J1012" s="24"/>
      <c r="K1012" s="24"/>
      <c r="L1012" s="24"/>
      <c r="M1012" s="24"/>
      <c r="N1012" s="24"/>
      <c r="O1012" s="24"/>
      <c r="P1012" s="24"/>
      <c r="Q1012" s="24"/>
      <c r="R1012" s="24"/>
      <c r="S1012" s="24"/>
      <c r="T1012" s="24"/>
      <c r="U1012" s="24"/>
      <c r="V1012" s="24"/>
      <c r="W1012" s="24"/>
      <c r="X1012" s="24"/>
      <c r="Y1012" s="24"/>
      <c r="Z1012" s="24"/>
      <c r="AA1012" s="24"/>
      <c r="AB1012" s="24"/>
      <c r="AC1012" s="24"/>
      <c r="AD1012" s="24"/>
      <c r="AE1012" s="24"/>
      <c r="AF1012" s="24"/>
      <c r="AG1012" s="24"/>
      <c r="AH1012" s="24"/>
      <c r="AI1012" s="24"/>
      <c r="AJ1012" s="24"/>
      <c r="AK1012" s="24"/>
      <c r="AL1012" s="24"/>
      <c r="AM1012" s="24"/>
      <c r="AN1012" s="24"/>
      <c r="AO1012" s="24"/>
      <c r="AP1012" s="24"/>
      <c r="AQ1012" s="24"/>
      <c r="AR1012" s="24"/>
      <c r="AS1012" s="24"/>
      <c r="AT1012" s="24"/>
      <c r="AU1012" s="24"/>
      <c r="AV1012" s="24"/>
      <c r="AW1012" s="24"/>
      <c r="AX1012" s="24"/>
      <c r="AY1012" s="24"/>
      <c r="AZ1012" s="24"/>
      <c r="BA1012" s="24"/>
      <c r="BB1012" s="24"/>
      <c r="BC1012" s="24"/>
      <c r="BD1012" s="24"/>
      <c r="BE1012" s="24"/>
      <c r="BF1012" s="24"/>
      <c r="BG1012" s="24"/>
      <c r="BH1012" s="24"/>
      <c r="BI1012" s="24"/>
      <c r="BJ1012" s="24"/>
      <c r="BK1012" s="24"/>
      <c r="BL1012" s="24"/>
      <c r="BM1012" s="24"/>
      <c r="BN1012" s="24"/>
      <c r="BO1012" s="24"/>
      <c r="BP1012" s="24"/>
      <c r="BQ1012" s="24"/>
      <c r="BR1012" s="24"/>
      <c r="BS1012" s="24"/>
      <c r="BT1012" s="24"/>
      <c r="BU1012" s="24"/>
      <c r="BV1012" s="24"/>
      <c r="BW1012" s="24"/>
      <c r="BX1012" s="24"/>
      <c r="BY1012" s="24"/>
      <c r="BZ1012" s="24"/>
      <c r="CA1012" s="24"/>
      <c r="CB1012" s="24"/>
      <c r="CC1012" s="24"/>
      <c r="CD1012" s="24"/>
    </row>
    <row r="1013" spans="2:82" ht="16.5" customHeight="1" x14ac:dyDescent="0.3">
      <c r="B1013" s="26"/>
      <c r="C1013" s="26"/>
      <c r="D1013" s="26"/>
      <c r="E1013" s="26"/>
      <c r="F1013" s="26"/>
      <c r="G1013" s="26"/>
      <c r="H1013" s="24"/>
      <c r="I1013" s="27"/>
      <c r="J1013" s="24"/>
      <c r="K1013" s="24"/>
      <c r="L1013" s="24"/>
      <c r="M1013" s="24"/>
      <c r="N1013" s="24"/>
      <c r="O1013" s="24"/>
      <c r="P1013" s="24"/>
      <c r="Q1013" s="24"/>
      <c r="R1013" s="24"/>
      <c r="S1013" s="24"/>
      <c r="T1013" s="24"/>
      <c r="U1013" s="24"/>
      <c r="V1013" s="24"/>
      <c r="W1013" s="24"/>
      <c r="X1013" s="24"/>
      <c r="Y1013" s="24"/>
      <c r="Z1013" s="24"/>
      <c r="AA1013" s="24"/>
      <c r="AB1013" s="24"/>
      <c r="AC1013" s="24"/>
      <c r="AD1013" s="24"/>
      <c r="AE1013" s="24"/>
      <c r="AF1013" s="24"/>
      <c r="AG1013" s="24"/>
      <c r="AH1013" s="24"/>
      <c r="AI1013" s="24"/>
      <c r="AJ1013" s="24"/>
      <c r="AK1013" s="24"/>
      <c r="AL1013" s="24"/>
      <c r="AM1013" s="24"/>
      <c r="AN1013" s="24"/>
      <c r="AO1013" s="24"/>
      <c r="AP1013" s="24"/>
      <c r="AQ1013" s="24"/>
      <c r="AR1013" s="24"/>
      <c r="AS1013" s="24"/>
      <c r="AT1013" s="24"/>
      <c r="AU1013" s="24"/>
      <c r="AV1013" s="24"/>
      <c r="AW1013" s="24"/>
      <c r="AX1013" s="24"/>
      <c r="AY1013" s="24"/>
      <c r="AZ1013" s="24"/>
      <c r="BA1013" s="24"/>
      <c r="BB1013" s="24"/>
      <c r="BC1013" s="24"/>
      <c r="BD1013" s="24"/>
      <c r="BE1013" s="24"/>
      <c r="BF1013" s="24"/>
      <c r="BG1013" s="24"/>
      <c r="BH1013" s="24"/>
      <c r="BI1013" s="24"/>
      <c r="BJ1013" s="24"/>
      <c r="BK1013" s="24"/>
      <c r="BL1013" s="24"/>
      <c r="BM1013" s="24"/>
      <c r="BN1013" s="24"/>
      <c r="BO1013" s="24"/>
      <c r="BP1013" s="24"/>
      <c r="BQ1013" s="24"/>
      <c r="BR1013" s="24"/>
      <c r="BS1013" s="24"/>
      <c r="BT1013" s="24"/>
      <c r="BU1013" s="24"/>
      <c r="BV1013" s="24"/>
      <c r="BW1013" s="24"/>
      <c r="BX1013" s="24"/>
      <c r="BY1013" s="24"/>
      <c r="BZ1013" s="24"/>
      <c r="CA1013" s="24"/>
      <c r="CB1013" s="24"/>
      <c r="CC1013" s="24"/>
      <c r="CD1013" s="24"/>
    </row>
    <row r="1014" spans="2:82" ht="16.5" customHeight="1" x14ac:dyDescent="0.3">
      <c r="B1014" s="26"/>
      <c r="C1014" s="26"/>
      <c r="D1014" s="26"/>
      <c r="E1014" s="26"/>
      <c r="F1014" s="26"/>
      <c r="G1014" s="26"/>
      <c r="H1014" s="24"/>
      <c r="I1014" s="27"/>
      <c r="J1014" s="24"/>
      <c r="K1014" s="24"/>
      <c r="L1014" s="24"/>
      <c r="M1014" s="24"/>
      <c r="N1014" s="24"/>
      <c r="O1014" s="24"/>
      <c r="P1014" s="24"/>
      <c r="Q1014" s="24"/>
      <c r="R1014" s="24"/>
      <c r="S1014" s="24"/>
      <c r="T1014" s="24"/>
      <c r="U1014" s="24"/>
      <c r="V1014" s="24"/>
      <c r="W1014" s="24"/>
      <c r="X1014" s="24"/>
      <c r="Y1014" s="24"/>
      <c r="Z1014" s="24"/>
      <c r="AA1014" s="24"/>
      <c r="AB1014" s="24"/>
      <c r="AC1014" s="24"/>
      <c r="AD1014" s="24"/>
      <c r="AE1014" s="24"/>
      <c r="AF1014" s="24"/>
      <c r="AG1014" s="24"/>
      <c r="AH1014" s="24"/>
      <c r="AI1014" s="24"/>
      <c r="AJ1014" s="24"/>
      <c r="AK1014" s="24"/>
      <c r="AL1014" s="24"/>
      <c r="AM1014" s="24"/>
      <c r="AN1014" s="24"/>
      <c r="AO1014" s="24"/>
      <c r="AP1014" s="24"/>
      <c r="AQ1014" s="24"/>
      <c r="AR1014" s="24"/>
      <c r="AS1014" s="24"/>
      <c r="AT1014" s="24"/>
      <c r="AU1014" s="24"/>
      <c r="AV1014" s="24"/>
      <c r="AW1014" s="24"/>
      <c r="AX1014" s="24"/>
      <c r="AY1014" s="24"/>
      <c r="AZ1014" s="24"/>
      <c r="BA1014" s="24"/>
      <c r="BB1014" s="24"/>
      <c r="BC1014" s="24"/>
      <c r="BD1014" s="24"/>
      <c r="BE1014" s="24"/>
      <c r="BF1014" s="24"/>
      <c r="BG1014" s="24"/>
      <c r="BH1014" s="24"/>
      <c r="BI1014" s="24"/>
      <c r="BJ1014" s="24"/>
      <c r="BK1014" s="24"/>
      <c r="BL1014" s="24"/>
      <c r="BM1014" s="24"/>
      <c r="BN1014" s="24"/>
      <c r="BO1014" s="24"/>
      <c r="BP1014" s="24"/>
      <c r="BQ1014" s="24"/>
      <c r="BR1014" s="24"/>
      <c r="BS1014" s="24"/>
      <c r="BT1014" s="24"/>
      <c r="BU1014" s="24"/>
      <c r="BV1014" s="24"/>
      <c r="BW1014" s="24"/>
      <c r="BX1014" s="24"/>
      <c r="BY1014" s="24"/>
      <c r="BZ1014" s="24"/>
      <c r="CA1014" s="24"/>
      <c r="CB1014" s="24"/>
      <c r="CC1014" s="24"/>
      <c r="CD1014" s="24"/>
    </row>
    <row r="1015" spans="2:82" ht="16.5" customHeight="1" x14ac:dyDescent="0.3">
      <c r="B1015" s="26"/>
      <c r="C1015" s="26"/>
      <c r="D1015" s="26"/>
      <c r="E1015" s="26"/>
      <c r="F1015" s="26"/>
      <c r="G1015" s="26"/>
      <c r="H1015" s="24"/>
      <c r="I1015" s="27"/>
      <c r="J1015" s="24"/>
      <c r="K1015" s="24"/>
      <c r="L1015" s="24"/>
      <c r="M1015" s="24"/>
      <c r="N1015" s="24"/>
      <c r="O1015" s="24"/>
      <c r="P1015" s="24"/>
      <c r="Q1015" s="24"/>
      <c r="R1015" s="24"/>
      <c r="S1015" s="24"/>
      <c r="T1015" s="24"/>
      <c r="U1015" s="24"/>
      <c r="V1015" s="24"/>
      <c r="W1015" s="24"/>
      <c r="X1015" s="24"/>
      <c r="Y1015" s="24"/>
      <c r="Z1015" s="24"/>
      <c r="AA1015" s="24"/>
      <c r="AB1015" s="24"/>
      <c r="AC1015" s="24"/>
      <c r="AD1015" s="24"/>
      <c r="AE1015" s="24"/>
      <c r="AF1015" s="24"/>
      <c r="AG1015" s="24"/>
      <c r="AH1015" s="24"/>
      <c r="AI1015" s="24"/>
      <c r="AJ1015" s="24"/>
      <c r="AK1015" s="24"/>
      <c r="AL1015" s="24"/>
      <c r="AM1015" s="24"/>
      <c r="AN1015" s="24"/>
      <c r="AO1015" s="24"/>
      <c r="AP1015" s="24"/>
      <c r="AQ1015" s="24"/>
      <c r="AR1015" s="24"/>
      <c r="AS1015" s="24"/>
      <c r="AT1015" s="24"/>
      <c r="AU1015" s="24"/>
      <c r="AV1015" s="24"/>
      <c r="AW1015" s="24"/>
      <c r="AX1015" s="24"/>
      <c r="AY1015" s="24"/>
      <c r="AZ1015" s="24"/>
      <c r="BA1015" s="24"/>
      <c r="BB1015" s="24"/>
      <c r="BC1015" s="24"/>
      <c r="BD1015" s="24"/>
      <c r="BE1015" s="24"/>
      <c r="BF1015" s="24"/>
      <c r="BG1015" s="24"/>
      <c r="BH1015" s="24"/>
      <c r="BI1015" s="24"/>
      <c r="BJ1015" s="24"/>
      <c r="BK1015" s="24"/>
      <c r="BL1015" s="24"/>
      <c r="BM1015" s="24"/>
      <c r="BN1015" s="24"/>
      <c r="BO1015" s="24"/>
      <c r="BP1015" s="24"/>
      <c r="BQ1015" s="24"/>
      <c r="BR1015" s="24"/>
      <c r="BS1015" s="24"/>
      <c r="BT1015" s="24"/>
      <c r="BU1015" s="24"/>
      <c r="BV1015" s="24"/>
      <c r="BW1015" s="24"/>
      <c r="BX1015" s="24"/>
      <c r="BY1015" s="24"/>
      <c r="BZ1015" s="24"/>
      <c r="CA1015" s="24"/>
      <c r="CB1015" s="24"/>
      <c r="CC1015" s="24"/>
      <c r="CD1015" s="24"/>
    </row>
    <row r="1016" spans="2:82" ht="16.5" customHeight="1" x14ac:dyDescent="0.3">
      <c r="B1016" s="26"/>
      <c r="C1016" s="26"/>
      <c r="D1016" s="26"/>
      <c r="E1016" s="26"/>
      <c r="F1016" s="26"/>
      <c r="G1016" s="26"/>
      <c r="H1016" s="24"/>
      <c r="I1016" s="27"/>
      <c r="J1016" s="24"/>
      <c r="K1016" s="24"/>
      <c r="L1016" s="24"/>
      <c r="M1016" s="24"/>
      <c r="N1016" s="24"/>
      <c r="O1016" s="24"/>
      <c r="P1016" s="24"/>
      <c r="Q1016" s="24"/>
      <c r="R1016" s="24"/>
      <c r="S1016" s="24"/>
      <c r="T1016" s="24"/>
      <c r="U1016" s="24"/>
      <c r="V1016" s="24"/>
      <c r="W1016" s="24"/>
      <c r="X1016" s="24"/>
      <c r="Y1016" s="24"/>
      <c r="Z1016" s="24"/>
      <c r="AA1016" s="24"/>
      <c r="AB1016" s="24"/>
      <c r="AC1016" s="24"/>
      <c r="AD1016" s="24"/>
      <c r="AE1016" s="24"/>
      <c r="AF1016" s="24"/>
      <c r="AG1016" s="24"/>
      <c r="AH1016" s="24"/>
      <c r="AI1016" s="24"/>
      <c r="AJ1016" s="24"/>
      <c r="AK1016" s="24"/>
      <c r="AL1016" s="24"/>
      <c r="AM1016" s="24"/>
      <c r="AN1016" s="24"/>
      <c r="AO1016" s="24"/>
      <c r="AP1016" s="24"/>
      <c r="AQ1016" s="24"/>
      <c r="AR1016" s="24"/>
      <c r="AS1016" s="24"/>
      <c r="AT1016" s="24"/>
      <c r="AU1016" s="24"/>
      <c r="AV1016" s="24"/>
      <c r="AW1016" s="24"/>
      <c r="AX1016" s="24"/>
      <c r="AY1016" s="24"/>
      <c r="AZ1016" s="24"/>
      <c r="BA1016" s="24"/>
      <c r="BB1016" s="24"/>
      <c r="BC1016" s="24"/>
      <c r="BD1016" s="24"/>
      <c r="BE1016" s="24"/>
      <c r="BF1016" s="24"/>
      <c r="BG1016" s="24"/>
      <c r="BH1016" s="24"/>
      <c r="BI1016" s="24"/>
      <c r="BJ1016" s="24"/>
      <c r="BK1016" s="24"/>
      <c r="BL1016" s="24"/>
      <c r="BM1016" s="24"/>
      <c r="BN1016" s="24"/>
      <c r="BO1016" s="24"/>
      <c r="BP1016" s="24"/>
      <c r="BQ1016" s="24"/>
      <c r="BR1016" s="24"/>
      <c r="BS1016" s="24"/>
      <c r="BT1016" s="24"/>
      <c r="BU1016" s="24"/>
      <c r="BV1016" s="24"/>
      <c r="BW1016" s="24"/>
      <c r="BX1016" s="24"/>
      <c r="BY1016" s="24"/>
      <c r="BZ1016" s="24"/>
      <c r="CA1016" s="24"/>
      <c r="CB1016" s="24"/>
      <c r="CC1016" s="24"/>
      <c r="CD1016" s="24"/>
    </row>
    <row r="1017" spans="2:82" ht="16.5" customHeight="1" x14ac:dyDescent="0.3">
      <c r="B1017" s="26"/>
      <c r="C1017" s="26"/>
      <c r="D1017" s="26"/>
      <c r="E1017" s="26"/>
      <c r="F1017" s="26"/>
      <c r="G1017" s="26"/>
      <c r="H1017" s="24"/>
      <c r="I1017" s="27"/>
      <c r="J1017" s="24"/>
      <c r="K1017" s="24"/>
      <c r="L1017" s="24"/>
      <c r="M1017" s="24"/>
      <c r="N1017" s="24"/>
      <c r="O1017" s="24"/>
      <c r="P1017" s="24"/>
      <c r="Q1017" s="24"/>
      <c r="R1017" s="24"/>
      <c r="S1017" s="24"/>
      <c r="T1017" s="24"/>
      <c r="U1017" s="24"/>
      <c r="V1017" s="24"/>
      <c r="W1017" s="24"/>
      <c r="X1017" s="24"/>
      <c r="Y1017" s="24"/>
      <c r="Z1017" s="24"/>
      <c r="AA1017" s="24"/>
      <c r="AB1017" s="24"/>
      <c r="AC1017" s="24"/>
      <c r="AD1017" s="24"/>
      <c r="AE1017" s="24"/>
      <c r="AF1017" s="24"/>
      <c r="AG1017" s="24"/>
      <c r="AH1017" s="24"/>
      <c r="AI1017" s="24"/>
      <c r="AJ1017" s="24"/>
      <c r="AK1017" s="24"/>
      <c r="AL1017" s="24"/>
      <c r="AM1017" s="24"/>
      <c r="AN1017" s="24"/>
      <c r="AO1017" s="24"/>
      <c r="AP1017" s="24"/>
      <c r="AQ1017" s="24"/>
      <c r="AR1017" s="24"/>
      <c r="AS1017" s="24"/>
      <c r="AT1017" s="24"/>
      <c r="AU1017" s="24"/>
      <c r="AV1017" s="24"/>
      <c r="AW1017" s="24"/>
      <c r="AX1017" s="24"/>
      <c r="AY1017" s="24"/>
      <c r="AZ1017" s="24"/>
      <c r="BA1017" s="24"/>
      <c r="BB1017" s="24"/>
      <c r="BC1017" s="24"/>
      <c r="BD1017" s="24"/>
      <c r="BE1017" s="24"/>
      <c r="BF1017" s="24"/>
      <c r="BG1017" s="24"/>
      <c r="BH1017" s="24"/>
      <c r="BI1017" s="24"/>
      <c r="BJ1017" s="24"/>
      <c r="BK1017" s="24"/>
      <c r="BL1017" s="24"/>
      <c r="BM1017" s="24"/>
      <c r="BN1017" s="24"/>
      <c r="BO1017" s="24"/>
      <c r="BP1017" s="24"/>
      <c r="BQ1017" s="24"/>
      <c r="BR1017" s="24"/>
      <c r="BS1017" s="24"/>
      <c r="BT1017" s="24"/>
      <c r="BU1017" s="24"/>
      <c r="BV1017" s="24"/>
      <c r="BW1017" s="24"/>
      <c r="BX1017" s="24"/>
      <c r="BY1017" s="24"/>
      <c r="BZ1017" s="24"/>
      <c r="CA1017" s="24"/>
      <c r="CB1017" s="24"/>
      <c r="CC1017" s="24"/>
      <c r="CD1017" s="24"/>
    </row>
    <row r="1018" spans="2:82" ht="16.5" customHeight="1" x14ac:dyDescent="0.3">
      <c r="B1018" s="26"/>
      <c r="C1018" s="26"/>
      <c r="D1018" s="26"/>
      <c r="E1018" s="26"/>
      <c r="F1018" s="26"/>
      <c r="G1018" s="26"/>
      <c r="H1018" s="24"/>
      <c r="I1018" s="27"/>
      <c r="J1018" s="24"/>
      <c r="K1018" s="24"/>
      <c r="L1018" s="24"/>
      <c r="M1018" s="24"/>
      <c r="N1018" s="24"/>
      <c r="O1018" s="24"/>
      <c r="P1018" s="24"/>
      <c r="Q1018" s="24"/>
      <c r="R1018" s="24"/>
      <c r="S1018" s="24"/>
      <c r="T1018" s="24"/>
      <c r="U1018" s="24"/>
      <c r="V1018" s="24"/>
      <c r="W1018" s="24"/>
      <c r="X1018" s="24"/>
      <c r="Y1018" s="24"/>
      <c r="Z1018" s="24"/>
      <c r="AA1018" s="24"/>
      <c r="AB1018" s="24"/>
      <c r="AC1018" s="24"/>
      <c r="AD1018" s="24"/>
      <c r="AE1018" s="24"/>
      <c r="AF1018" s="24"/>
      <c r="AG1018" s="24"/>
      <c r="AH1018" s="24"/>
      <c r="AI1018" s="24"/>
      <c r="AJ1018" s="24"/>
      <c r="AK1018" s="24"/>
      <c r="AL1018" s="24"/>
      <c r="AM1018" s="24"/>
      <c r="AN1018" s="24"/>
      <c r="AO1018" s="24"/>
      <c r="AP1018" s="24"/>
      <c r="AQ1018" s="24"/>
      <c r="AR1018" s="24"/>
      <c r="AS1018" s="24"/>
      <c r="AT1018" s="24"/>
      <c r="AU1018" s="24"/>
      <c r="AV1018" s="24"/>
      <c r="AW1018" s="24"/>
      <c r="AX1018" s="24"/>
      <c r="AY1018" s="24"/>
      <c r="AZ1018" s="24"/>
      <c r="BA1018" s="24"/>
      <c r="BB1018" s="24"/>
      <c r="BC1018" s="24"/>
      <c r="BD1018" s="24"/>
      <c r="BE1018" s="24"/>
      <c r="BF1018" s="24"/>
      <c r="BG1018" s="24"/>
      <c r="BH1018" s="24"/>
      <c r="BI1018" s="24"/>
      <c r="BJ1018" s="24"/>
      <c r="BK1018" s="24"/>
      <c r="BL1018" s="24"/>
      <c r="BM1018" s="24"/>
      <c r="BN1018" s="24"/>
      <c r="BO1018" s="24"/>
      <c r="BP1018" s="24"/>
      <c r="BQ1018" s="24"/>
      <c r="BR1018" s="24"/>
      <c r="BS1018" s="24"/>
      <c r="BT1018" s="24"/>
      <c r="BU1018" s="24"/>
      <c r="BV1018" s="24"/>
      <c r="BW1018" s="24"/>
      <c r="BX1018" s="24"/>
      <c r="BY1018" s="24"/>
      <c r="BZ1018" s="24"/>
      <c r="CA1018" s="24"/>
      <c r="CB1018" s="24"/>
      <c r="CC1018" s="24"/>
      <c r="CD1018" s="24"/>
    </row>
    <row r="1019" spans="2:82" ht="16.5" customHeight="1" x14ac:dyDescent="0.3">
      <c r="B1019" s="26"/>
      <c r="C1019" s="26"/>
      <c r="D1019" s="26"/>
      <c r="E1019" s="26"/>
      <c r="F1019" s="26"/>
      <c r="G1019" s="26"/>
      <c r="H1019" s="24"/>
      <c r="I1019" s="27"/>
      <c r="J1019" s="24"/>
      <c r="K1019" s="24"/>
      <c r="L1019" s="24"/>
      <c r="M1019" s="24"/>
      <c r="N1019" s="24"/>
      <c r="O1019" s="24"/>
      <c r="P1019" s="24"/>
      <c r="Q1019" s="24"/>
      <c r="R1019" s="24"/>
      <c r="S1019" s="24"/>
      <c r="T1019" s="24"/>
      <c r="U1019" s="24"/>
      <c r="V1019" s="24"/>
      <c r="W1019" s="24"/>
      <c r="X1019" s="24"/>
      <c r="Y1019" s="24"/>
      <c r="Z1019" s="24"/>
      <c r="AA1019" s="24"/>
      <c r="AB1019" s="24"/>
      <c r="AC1019" s="24"/>
      <c r="AD1019" s="24"/>
      <c r="AE1019" s="24"/>
      <c r="AF1019" s="24"/>
      <c r="AG1019" s="24"/>
      <c r="AH1019" s="24"/>
      <c r="AI1019" s="24"/>
      <c r="AJ1019" s="24"/>
      <c r="AK1019" s="24"/>
      <c r="AL1019" s="24"/>
      <c r="AM1019" s="24"/>
      <c r="AN1019" s="24"/>
      <c r="AO1019" s="24"/>
      <c r="AP1019" s="24"/>
      <c r="AQ1019" s="24"/>
      <c r="AR1019" s="24"/>
      <c r="AS1019" s="24"/>
      <c r="AT1019" s="24"/>
      <c r="AU1019" s="24"/>
      <c r="AV1019" s="24"/>
      <c r="AW1019" s="24"/>
      <c r="AX1019" s="24"/>
      <c r="AY1019" s="24"/>
      <c r="AZ1019" s="24"/>
      <c r="BA1019" s="24"/>
      <c r="BB1019" s="24"/>
      <c r="BC1019" s="24"/>
      <c r="BD1019" s="24"/>
      <c r="BE1019" s="24"/>
      <c r="BF1019" s="24"/>
      <c r="BG1019" s="24"/>
      <c r="BH1019" s="24"/>
      <c r="BI1019" s="24"/>
      <c r="BJ1019" s="24"/>
      <c r="BK1019" s="24"/>
      <c r="BL1019" s="24"/>
      <c r="BM1019" s="24"/>
      <c r="BN1019" s="24"/>
      <c r="BO1019" s="24"/>
      <c r="BP1019" s="24"/>
      <c r="BQ1019" s="24"/>
      <c r="BR1019" s="24"/>
      <c r="BS1019" s="24"/>
      <c r="BT1019" s="24"/>
      <c r="BU1019" s="24"/>
      <c r="BV1019" s="24"/>
      <c r="BW1019" s="24"/>
      <c r="BX1019" s="24"/>
      <c r="BY1019" s="24"/>
      <c r="BZ1019" s="24"/>
      <c r="CA1019" s="24"/>
      <c r="CB1019" s="24"/>
      <c r="CC1019" s="24"/>
      <c r="CD1019" s="24"/>
    </row>
    <row r="1020" spans="2:82" ht="16.5" customHeight="1" x14ac:dyDescent="0.3">
      <c r="B1020" s="26"/>
      <c r="C1020" s="26"/>
      <c r="D1020" s="26"/>
      <c r="E1020" s="26"/>
      <c r="F1020" s="26"/>
      <c r="G1020" s="26"/>
      <c r="H1020" s="24"/>
      <c r="I1020" s="27"/>
      <c r="J1020" s="24"/>
      <c r="K1020" s="24"/>
      <c r="L1020" s="24"/>
      <c r="M1020" s="24"/>
      <c r="N1020" s="24"/>
      <c r="O1020" s="24"/>
      <c r="P1020" s="24"/>
      <c r="Q1020" s="24"/>
      <c r="R1020" s="24"/>
      <c r="S1020" s="24"/>
      <c r="T1020" s="24"/>
      <c r="U1020" s="24"/>
      <c r="V1020" s="24"/>
      <c r="W1020" s="24"/>
      <c r="X1020" s="24"/>
      <c r="Y1020" s="24"/>
      <c r="Z1020" s="24"/>
      <c r="AA1020" s="24"/>
      <c r="AB1020" s="24"/>
      <c r="AC1020" s="24"/>
      <c r="AD1020" s="24"/>
      <c r="AE1020" s="24"/>
      <c r="AF1020" s="24"/>
      <c r="AG1020" s="24"/>
      <c r="AH1020" s="24"/>
      <c r="AI1020" s="24"/>
      <c r="AJ1020" s="24"/>
      <c r="AK1020" s="24"/>
      <c r="AL1020" s="24"/>
      <c r="AM1020" s="24"/>
      <c r="AN1020" s="24"/>
      <c r="AO1020" s="24"/>
      <c r="AP1020" s="24"/>
      <c r="AQ1020" s="24"/>
      <c r="AR1020" s="24"/>
      <c r="AS1020" s="24"/>
      <c r="AT1020" s="24"/>
      <c r="AU1020" s="24"/>
      <c r="AV1020" s="24"/>
      <c r="AW1020" s="24"/>
      <c r="AX1020" s="24"/>
      <c r="AY1020" s="24"/>
      <c r="AZ1020" s="24"/>
      <c r="BA1020" s="24"/>
      <c r="BB1020" s="24"/>
      <c r="BC1020" s="24"/>
      <c r="BD1020" s="24"/>
      <c r="BE1020" s="24"/>
      <c r="BF1020" s="24"/>
      <c r="BG1020" s="24"/>
      <c r="BH1020" s="24"/>
      <c r="BI1020" s="24"/>
      <c r="BJ1020" s="24"/>
      <c r="BK1020" s="24"/>
      <c r="BL1020" s="24"/>
      <c r="BM1020" s="24"/>
      <c r="BN1020" s="24"/>
      <c r="BO1020" s="24"/>
      <c r="BP1020" s="24"/>
      <c r="BQ1020" s="24"/>
      <c r="BR1020" s="24"/>
      <c r="BS1020" s="24"/>
      <c r="BT1020" s="24"/>
      <c r="BU1020" s="24"/>
      <c r="BV1020" s="24"/>
      <c r="BW1020" s="24"/>
      <c r="BX1020" s="24"/>
      <c r="BY1020" s="24"/>
      <c r="BZ1020" s="24"/>
      <c r="CA1020" s="24"/>
      <c r="CB1020" s="24"/>
      <c r="CC1020" s="24"/>
      <c r="CD1020" s="24"/>
    </row>
    <row r="1021" spans="2:82" ht="16.5" customHeight="1" x14ac:dyDescent="0.3">
      <c r="B1021" s="26"/>
      <c r="C1021" s="26"/>
      <c r="D1021" s="26"/>
      <c r="E1021" s="26"/>
      <c r="F1021" s="26"/>
      <c r="G1021" s="26"/>
      <c r="H1021" s="24"/>
      <c r="I1021" s="27"/>
      <c r="J1021" s="24"/>
      <c r="K1021" s="24"/>
      <c r="L1021" s="24"/>
      <c r="M1021" s="24"/>
      <c r="N1021" s="24"/>
      <c r="O1021" s="24"/>
      <c r="P1021" s="24"/>
      <c r="Q1021" s="24"/>
      <c r="R1021" s="24"/>
      <c r="S1021" s="24"/>
      <c r="T1021" s="24"/>
      <c r="U1021" s="24"/>
      <c r="V1021" s="24"/>
      <c r="W1021" s="24"/>
      <c r="X1021" s="24"/>
      <c r="Y1021" s="24"/>
      <c r="Z1021" s="24"/>
      <c r="AA1021" s="24"/>
      <c r="AB1021" s="24"/>
      <c r="AC1021" s="24"/>
      <c r="AD1021" s="24"/>
      <c r="AE1021" s="24"/>
      <c r="AF1021" s="24"/>
      <c r="AG1021" s="24"/>
      <c r="AH1021" s="24"/>
      <c r="AI1021" s="24"/>
      <c r="AJ1021" s="24"/>
      <c r="AK1021" s="24"/>
      <c r="AL1021" s="24"/>
      <c r="AM1021" s="24"/>
      <c r="AN1021" s="24"/>
      <c r="AO1021" s="24"/>
      <c r="AP1021" s="24"/>
      <c r="AQ1021" s="24"/>
      <c r="AR1021" s="24"/>
      <c r="AS1021" s="24"/>
      <c r="AT1021" s="24"/>
      <c r="AU1021" s="24"/>
      <c r="AV1021" s="24"/>
      <c r="AW1021" s="24"/>
      <c r="AX1021" s="24"/>
      <c r="AY1021" s="24"/>
      <c r="AZ1021" s="24"/>
      <c r="BA1021" s="24"/>
      <c r="BB1021" s="24"/>
      <c r="BC1021" s="24"/>
      <c r="BD1021" s="24"/>
      <c r="BE1021" s="24"/>
      <c r="BF1021" s="24"/>
      <c r="BG1021" s="24"/>
      <c r="BH1021" s="24"/>
      <c r="BI1021" s="24"/>
      <c r="BJ1021" s="24"/>
      <c r="BK1021" s="24"/>
      <c r="BL1021" s="24"/>
      <c r="BM1021" s="24"/>
      <c r="BN1021" s="24"/>
      <c r="BO1021" s="24"/>
      <c r="BP1021" s="24"/>
      <c r="BQ1021" s="24"/>
      <c r="BR1021" s="24"/>
      <c r="BS1021" s="24"/>
      <c r="BT1021" s="24"/>
      <c r="BU1021" s="24"/>
      <c r="BV1021" s="24"/>
      <c r="BW1021" s="24"/>
      <c r="BX1021" s="24"/>
      <c r="BY1021" s="24"/>
      <c r="BZ1021" s="24"/>
      <c r="CA1021" s="24"/>
      <c r="CB1021" s="24"/>
      <c r="CC1021" s="24"/>
      <c r="CD1021" s="24"/>
    </row>
    <row r="1022" spans="2:82" ht="16.5" customHeight="1" x14ac:dyDescent="0.3">
      <c r="B1022" s="26"/>
      <c r="C1022" s="26"/>
      <c r="D1022" s="26"/>
      <c r="E1022" s="26"/>
      <c r="F1022" s="26"/>
      <c r="G1022" s="26"/>
      <c r="H1022" s="24"/>
      <c r="I1022" s="27"/>
      <c r="J1022" s="24"/>
      <c r="K1022" s="24"/>
      <c r="L1022" s="24"/>
      <c r="M1022" s="24"/>
      <c r="N1022" s="24"/>
      <c r="O1022" s="24"/>
      <c r="P1022" s="24"/>
      <c r="Q1022" s="24"/>
      <c r="R1022" s="24"/>
      <c r="S1022" s="24"/>
      <c r="T1022" s="24"/>
      <c r="U1022" s="24"/>
      <c r="V1022" s="24"/>
      <c r="W1022" s="24"/>
      <c r="X1022" s="24"/>
      <c r="Y1022" s="24"/>
      <c r="Z1022" s="24"/>
      <c r="AA1022" s="24"/>
      <c r="AB1022" s="24"/>
      <c r="AC1022" s="24"/>
      <c r="AD1022" s="24"/>
      <c r="AE1022" s="24"/>
      <c r="AF1022" s="24"/>
      <c r="AG1022" s="24"/>
      <c r="AH1022" s="24"/>
      <c r="AI1022" s="24"/>
      <c r="AJ1022" s="24"/>
      <c r="AK1022" s="24"/>
      <c r="AL1022" s="24"/>
      <c r="AM1022" s="24"/>
      <c r="AN1022" s="24"/>
      <c r="AO1022" s="24"/>
      <c r="AP1022" s="24"/>
      <c r="AQ1022" s="24"/>
      <c r="AR1022" s="24"/>
      <c r="AS1022" s="24"/>
      <c r="AT1022" s="24"/>
      <c r="AU1022" s="24"/>
      <c r="AV1022" s="24"/>
      <c r="AW1022" s="24"/>
      <c r="AX1022" s="24"/>
      <c r="AY1022" s="24"/>
      <c r="AZ1022" s="24"/>
      <c r="BA1022" s="24"/>
      <c r="BB1022" s="24"/>
      <c r="BC1022" s="24"/>
      <c r="BD1022" s="24"/>
      <c r="BE1022" s="24"/>
      <c r="BF1022" s="24"/>
      <c r="BG1022" s="24"/>
      <c r="BH1022" s="24"/>
      <c r="BI1022" s="24"/>
      <c r="BJ1022" s="24"/>
      <c r="BK1022" s="24"/>
      <c r="BL1022" s="24"/>
      <c r="BM1022" s="24"/>
      <c r="BN1022" s="24"/>
      <c r="BO1022" s="24"/>
      <c r="BP1022" s="24"/>
      <c r="BQ1022" s="24"/>
      <c r="BR1022" s="24"/>
      <c r="BS1022" s="24"/>
      <c r="BT1022" s="24"/>
      <c r="BU1022" s="24"/>
      <c r="BV1022" s="24"/>
      <c r="BW1022" s="24"/>
      <c r="BX1022" s="24"/>
      <c r="BY1022" s="24"/>
      <c r="BZ1022" s="24"/>
      <c r="CA1022" s="24"/>
      <c r="CB1022" s="24"/>
      <c r="CC1022" s="24"/>
      <c r="CD1022" s="24"/>
    </row>
    <row r="1023" spans="2:82" ht="16.5" customHeight="1" x14ac:dyDescent="0.3">
      <c r="B1023" s="26"/>
      <c r="C1023" s="26"/>
      <c r="D1023" s="26"/>
      <c r="E1023" s="26"/>
      <c r="F1023" s="26"/>
      <c r="G1023" s="26"/>
      <c r="H1023" s="24"/>
      <c r="I1023" s="27"/>
      <c r="J1023" s="24"/>
      <c r="K1023" s="24"/>
      <c r="L1023" s="24"/>
      <c r="M1023" s="24"/>
      <c r="N1023" s="24"/>
      <c r="O1023" s="24"/>
      <c r="P1023" s="24"/>
      <c r="Q1023" s="24"/>
      <c r="R1023" s="24"/>
      <c r="S1023" s="24"/>
      <c r="T1023" s="24"/>
      <c r="U1023" s="24"/>
      <c r="V1023" s="24"/>
      <c r="W1023" s="24"/>
      <c r="X1023" s="24"/>
      <c r="Y1023" s="24"/>
      <c r="Z1023" s="24"/>
      <c r="AA1023" s="24"/>
      <c r="AB1023" s="24"/>
      <c r="AC1023" s="24"/>
      <c r="AD1023" s="24"/>
      <c r="AE1023" s="24"/>
      <c r="AF1023" s="24"/>
      <c r="AG1023" s="24"/>
      <c r="AH1023" s="24"/>
      <c r="AI1023" s="24"/>
      <c r="AJ1023" s="24"/>
      <c r="AK1023" s="24"/>
      <c r="AL1023" s="24"/>
      <c r="AM1023" s="24"/>
      <c r="AN1023" s="24"/>
      <c r="AO1023" s="24"/>
      <c r="AP1023" s="24"/>
      <c r="AQ1023" s="24"/>
      <c r="AR1023" s="24"/>
      <c r="AS1023" s="24"/>
      <c r="AT1023" s="24"/>
      <c r="AU1023" s="24"/>
      <c r="AV1023" s="24"/>
      <c r="AW1023" s="24"/>
      <c r="AX1023" s="24"/>
      <c r="AY1023" s="24"/>
      <c r="AZ1023" s="24"/>
      <c r="BA1023" s="24"/>
      <c r="BB1023" s="24"/>
      <c r="BC1023" s="24"/>
      <c r="BD1023" s="24"/>
      <c r="BE1023" s="24"/>
      <c r="BF1023" s="24"/>
      <c r="BG1023" s="24"/>
      <c r="BH1023" s="24"/>
      <c r="BI1023" s="24"/>
      <c r="BJ1023" s="24"/>
      <c r="BK1023" s="24"/>
      <c r="BL1023" s="24"/>
      <c r="BM1023" s="24"/>
      <c r="BN1023" s="24"/>
      <c r="BO1023" s="24"/>
      <c r="BP1023" s="24"/>
      <c r="BQ1023" s="24"/>
      <c r="BR1023" s="24"/>
      <c r="BS1023" s="24"/>
      <c r="BT1023" s="24"/>
      <c r="BU1023" s="24"/>
      <c r="BV1023" s="24"/>
      <c r="BW1023" s="24"/>
      <c r="BX1023" s="24"/>
      <c r="BY1023" s="24"/>
      <c r="BZ1023" s="24"/>
      <c r="CA1023" s="24"/>
      <c r="CB1023" s="24"/>
      <c r="CC1023" s="24"/>
      <c r="CD1023" s="24"/>
    </row>
    <row r="1024" spans="2:82" ht="16.5" customHeight="1" x14ac:dyDescent="0.3">
      <c r="B1024" s="26"/>
      <c r="C1024" s="26"/>
      <c r="D1024" s="26"/>
      <c r="E1024" s="26"/>
      <c r="F1024" s="26"/>
      <c r="G1024" s="26"/>
      <c r="H1024" s="24"/>
      <c r="I1024" s="27"/>
      <c r="J1024" s="24"/>
      <c r="K1024" s="24"/>
      <c r="L1024" s="24"/>
      <c r="M1024" s="24"/>
      <c r="N1024" s="24"/>
      <c r="O1024" s="24"/>
      <c r="P1024" s="24"/>
      <c r="Q1024" s="24"/>
      <c r="R1024" s="24"/>
      <c r="S1024" s="24"/>
      <c r="T1024" s="24"/>
      <c r="U1024" s="24"/>
      <c r="V1024" s="24"/>
      <c r="W1024" s="24"/>
      <c r="X1024" s="24"/>
      <c r="Y1024" s="24"/>
      <c r="Z1024" s="24"/>
      <c r="AA1024" s="24"/>
      <c r="AB1024" s="24"/>
      <c r="AC1024" s="24"/>
      <c r="AD1024" s="24"/>
      <c r="AE1024" s="24"/>
      <c r="AF1024" s="24"/>
      <c r="AG1024" s="24"/>
      <c r="AH1024" s="24"/>
      <c r="AI1024" s="24"/>
      <c r="AJ1024" s="24"/>
      <c r="AK1024" s="24"/>
      <c r="AL1024" s="24"/>
      <c r="AM1024" s="24"/>
      <c r="AN1024" s="24"/>
      <c r="AO1024" s="24"/>
      <c r="AP1024" s="24"/>
      <c r="AQ1024" s="24"/>
      <c r="AR1024" s="24"/>
      <c r="AS1024" s="24"/>
      <c r="AT1024" s="24"/>
      <c r="AU1024" s="24"/>
      <c r="AV1024" s="24"/>
      <c r="AW1024" s="24"/>
      <c r="AX1024" s="24"/>
      <c r="AY1024" s="24"/>
      <c r="AZ1024" s="24"/>
      <c r="BA1024" s="24"/>
      <c r="BB1024" s="24"/>
      <c r="BC1024" s="24"/>
      <c r="BD1024" s="24"/>
      <c r="BE1024" s="24"/>
      <c r="BF1024" s="24"/>
      <c r="BG1024" s="24"/>
      <c r="BH1024" s="24"/>
      <c r="BI1024" s="24"/>
      <c r="BJ1024" s="24"/>
      <c r="BK1024" s="24"/>
      <c r="BL1024" s="24"/>
      <c r="BM1024" s="24"/>
      <c r="BN1024" s="24"/>
      <c r="BO1024" s="24"/>
      <c r="BP1024" s="24"/>
      <c r="BQ1024" s="24"/>
      <c r="BR1024" s="24"/>
      <c r="BS1024" s="24"/>
      <c r="BT1024" s="24"/>
      <c r="BU1024" s="24"/>
      <c r="BV1024" s="24"/>
      <c r="BW1024" s="24"/>
      <c r="BX1024" s="24"/>
      <c r="BY1024" s="24"/>
      <c r="BZ1024" s="24"/>
      <c r="CA1024" s="24"/>
      <c r="CB1024" s="24"/>
      <c r="CC1024" s="24"/>
      <c r="CD1024" s="24"/>
    </row>
    <row r="1025" spans="2:82" ht="16.5" customHeight="1" x14ac:dyDescent="0.3">
      <c r="B1025" s="26"/>
      <c r="C1025" s="26"/>
      <c r="D1025" s="26"/>
      <c r="E1025" s="26"/>
      <c r="F1025" s="26"/>
      <c r="G1025" s="26"/>
      <c r="H1025" s="24"/>
      <c r="I1025" s="27"/>
      <c r="J1025" s="24"/>
      <c r="K1025" s="24"/>
      <c r="L1025" s="24"/>
      <c r="M1025" s="24"/>
      <c r="N1025" s="24"/>
      <c r="O1025" s="24"/>
      <c r="P1025" s="24"/>
      <c r="Q1025" s="24"/>
      <c r="R1025" s="24"/>
      <c r="S1025" s="24"/>
      <c r="T1025" s="24"/>
      <c r="U1025" s="24"/>
      <c r="V1025" s="24"/>
      <c r="W1025" s="24"/>
      <c r="X1025" s="24"/>
      <c r="Y1025" s="24"/>
      <c r="Z1025" s="24"/>
      <c r="AA1025" s="24"/>
      <c r="AB1025" s="24"/>
      <c r="AC1025" s="24"/>
      <c r="AD1025" s="24"/>
      <c r="AE1025" s="24"/>
      <c r="AF1025" s="24"/>
      <c r="AG1025" s="24"/>
      <c r="AH1025" s="24"/>
      <c r="AI1025" s="24"/>
      <c r="AJ1025" s="24"/>
      <c r="AK1025" s="24"/>
      <c r="AL1025" s="24"/>
      <c r="AM1025" s="24"/>
      <c r="AN1025" s="24"/>
      <c r="AO1025" s="24"/>
      <c r="AP1025" s="24"/>
      <c r="AQ1025" s="24"/>
      <c r="AR1025" s="24"/>
      <c r="AS1025" s="24"/>
      <c r="AT1025" s="24"/>
      <c r="AU1025" s="24"/>
      <c r="AV1025" s="24"/>
      <c r="AW1025" s="24"/>
      <c r="AX1025" s="24"/>
      <c r="AY1025" s="24"/>
      <c r="AZ1025" s="24"/>
      <c r="BA1025" s="24"/>
      <c r="BB1025" s="24"/>
      <c r="BC1025" s="24"/>
      <c r="BD1025" s="24"/>
      <c r="BE1025" s="24"/>
      <c r="BF1025" s="24"/>
      <c r="BG1025" s="24"/>
      <c r="BH1025" s="24"/>
      <c r="BI1025" s="24"/>
      <c r="BJ1025" s="24"/>
      <c r="BK1025" s="24"/>
      <c r="BL1025" s="24"/>
      <c r="BM1025" s="24"/>
      <c r="BN1025" s="24"/>
      <c r="BO1025" s="24"/>
      <c r="BP1025" s="24"/>
      <c r="BQ1025" s="24"/>
      <c r="BR1025" s="24"/>
      <c r="BS1025" s="24"/>
      <c r="BT1025" s="24"/>
      <c r="BU1025" s="24"/>
      <c r="BV1025" s="24"/>
      <c r="BW1025" s="24"/>
      <c r="BX1025" s="24"/>
      <c r="BY1025" s="24"/>
      <c r="BZ1025" s="24"/>
      <c r="CA1025" s="24"/>
      <c r="CB1025" s="24"/>
      <c r="CC1025" s="24"/>
      <c r="CD1025" s="24"/>
    </row>
    <row r="1026" spans="2:82" ht="16.5" customHeight="1" x14ac:dyDescent="0.3">
      <c r="B1026" s="26"/>
      <c r="C1026" s="26"/>
      <c r="D1026" s="26"/>
      <c r="E1026" s="26"/>
      <c r="F1026" s="26"/>
      <c r="G1026" s="26"/>
      <c r="H1026" s="24"/>
      <c r="I1026" s="27"/>
      <c r="J1026" s="24"/>
      <c r="K1026" s="24"/>
      <c r="L1026" s="24"/>
      <c r="M1026" s="24"/>
      <c r="N1026" s="24"/>
      <c r="O1026" s="24"/>
      <c r="P1026" s="24"/>
      <c r="Q1026" s="24"/>
      <c r="R1026" s="24"/>
      <c r="S1026" s="24"/>
      <c r="T1026" s="24"/>
      <c r="U1026" s="24"/>
      <c r="V1026" s="24"/>
      <c r="W1026" s="24"/>
      <c r="X1026" s="24"/>
      <c r="Y1026" s="24"/>
      <c r="Z1026" s="24"/>
      <c r="AA1026" s="24"/>
      <c r="AB1026" s="24"/>
      <c r="AC1026" s="24"/>
      <c r="AD1026" s="24"/>
      <c r="AE1026" s="24"/>
      <c r="AF1026" s="24"/>
      <c r="AG1026" s="24"/>
      <c r="AH1026" s="24"/>
      <c r="AI1026" s="24"/>
      <c r="AJ1026" s="24"/>
      <c r="AK1026" s="24"/>
      <c r="AL1026" s="24"/>
      <c r="AM1026" s="24"/>
      <c r="AN1026" s="24"/>
      <c r="AO1026" s="24"/>
      <c r="AP1026" s="24"/>
      <c r="AQ1026" s="24"/>
      <c r="AR1026" s="24"/>
      <c r="AS1026" s="24"/>
      <c r="AT1026" s="24"/>
      <c r="AU1026" s="24"/>
      <c r="AV1026" s="24"/>
      <c r="AW1026" s="24"/>
      <c r="AX1026" s="24"/>
      <c r="AY1026" s="24"/>
      <c r="AZ1026" s="24"/>
      <c r="BA1026" s="24"/>
      <c r="BB1026" s="24"/>
      <c r="BC1026" s="24"/>
      <c r="BD1026" s="24"/>
      <c r="BE1026" s="24"/>
      <c r="BF1026" s="24"/>
      <c r="BG1026" s="24"/>
      <c r="BH1026" s="24"/>
      <c r="BI1026" s="24"/>
      <c r="BJ1026" s="24"/>
      <c r="BK1026" s="24"/>
      <c r="BL1026" s="24"/>
      <c r="BM1026" s="24"/>
      <c r="BN1026" s="24"/>
      <c r="BO1026" s="24"/>
      <c r="BP1026" s="24"/>
      <c r="BQ1026" s="24"/>
      <c r="BR1026" s="24"/>
      <c r="BS1026" s="24"/>
      <c r="BT1026" s="24"/>
      <c r="BU1026" s="24"/>
      <c r="BV1026" s="24"/>
      <c r="BW1026" s="24"/>
      <c r="BX1026" s="24"/>
      <c r="BY1026" s="24"/>
      <c r="BZ1026" s="24"/>
      <c r="CA1026" s="24"/>
      <c r="CB1026" s="24"/>
      <c r="CC1026" s="24"/>
      <c r="CD1026" s="24"/>
    </row>
    <row r="1027" spans="2:82" ht="16.5" customHeight="1" x14ac:dyDescent="0.3">
      <c r="B1027" s="26"/>
      <c r="C1027" s="26"/>
      <c r="D1027" s="26"/>
      <c r="E1027" s="26"/>
      <c r="F1027" s="26"/>
      <c r="G1027" s="26"/>
      <c r="H1027" s="24"/>
      <c r="I1027" s="27"/>
      <c r="J1027" s="24"/>
      <c r="K1027" s="24"/>
      <c r="L1027" s="24"/>
      <c r="M1027" s="24"/>
      <c r="N1027" s="24"/>
      <c r="O1027" s="24"/>
      <c r="P1027" s="24"/>
      <c r="Q1027" s="24"/>
      <c r="R1027" s="24"/>
      <c r="S1027" s="24"/>
      <c r="T1027" s="24"/>
      <c r="U1027" s="24"/>
      <c r="V1027" s="24"/>
      <c r="W1027" s="24"/>
      <c r="X1027" s="24"/>
      <c r="Y1027" s="24"/>
      <c r="Z1027" s="24"/>
      <c r="AA1027" s="24"/>
      <c r="AB1027" s="24"/>
      <c r="AC1027" s="24"/>
      <c r="AD1027" s="24"/>
      <c r="AE1027" s="24"/>
      <c r="AF1027" s="24"/>
      <c r="AG1027" s="24"/>
      <c r="AH1027" s="24"/>
      <c r="AI1027" s="24"/>
      <c r="AJ1027" s="24"/>
      <c r="AK1027" s="24"/>
      <c r="AL1027" s="24"/>
      <c r="AM1027" s="24"/>
      <c r="AN1027" s="24"/>
      <c r="AO1027" s="24"/>
      <c r="AP1027" s="24"/>
      <c r="AQ1027" s="24"/>
      <c r="AR1027" s="24"/>
      <c r="AS1027" s="24"/>
      <c r="AT1027" s="24"/>
      <c r="AU1027" s="24"/>
      <c r="AV1027" s="24"/>
      <c r="AW1027" s="24"/>
      <c r="AX1027" s="24"/>
      <c r="AY1027" s="24"/>
      <c r="AZ1027" s="24"/>
      <c r="BA1027" s="24"/>
      <c r="BB1027" s="24"/>
      <c r="BC1027" s="24"/>
      <c r="BD1027" s="24"/>
      <c r="BE1027" s="24"/>
      <c r="BF1027" s="24"/>
      <c r="BG1027" s="24"/>
      <c r="BH1027" s="24"/>
      <c r="BI1027" s="24"/>
      <c r="BJ1027" s="24"/>
      <c r="BK1027" s="24"/>
      <c r="BL1027" s="24"/>
      <c r="BM1027" s="24"/>
      <c r="BN1027" s="24"/>
      <c r="BO1027" s="24"/>
      <c r="BP1027" s="24"/>
      <c r="BQ1027" s="24"/>
      <c r="BR1027" s="24"/>
      <c r="BS1027" s="24"/>
      <c r="BT1027" s="24"/>
      <c r="BU1027" s="24"/>
      <c r="BV1027" s="24"/>
      <c r="BW1027" s="24"/>
      <c r="BX1027" s="24"/>
      <c r="BY1027" s="24"/>
      <c r="BZ1027" s="24"/>
      <c r="CA1027" s="24"/>
      <c r="CB1027" s="24"/>
      <c r="CC1027" s="24"/>
      <c r="CD1027" s="24"/>
    </row>
    <row r="1028" spans="2:82" ht="16.5" customHeight="1" x14ac:dyDescent="0.3">
      <c r="B1028" s="26"/>
      <c r="C1028" s="26"/>
      <c r="D1028" s="26"/>
      <c r="E1028" s="26"/>
      <c r="F1028" s="26"/>
      <c r="G1028" s="26"/>
      <c r="H1028" s="24"/>
      <c r="I1028" s="27"/>
      <c r="J1028" s="24"/>
      <c r="K1028" s="24"/>
      <c r="L1028" s="24"/>
      <c r="M1028" s="24"/>
      <c r="N1028" s="24"/>
      <c r="O1028" s="24"/>
      <c r="P1028" s="24"/>
      <c r="Q1028" s="24"/>
      <c r="R1028" s="24"/>
      <c r="S1028" s="24"/>
      <c r="T1028" s="24"/>
      <c r="U1028" s="24"/>
      <c r="V1028" s="24"/>
      <c r="W1028" s="24"/>
      <c r="X1028" s="24"/>
      <c r="Y1028" s="24"/>
      <c r="Z1028" s="24"/>
      <c r="AA1028" s="24"/>
      <c r="AB1028" s="24"/>
      <c r="AC1028" s="24"/>
      <c r="AD1028" s="24"/>
      <c r="AE1028" s="24"/>
      <c r="AF1028" s="24"/>
      <c r="AG1028" s="24"/>
      <c r="AH1028" s="24"/>
      <c r="AI1028" s="24"/>
      <c r="AJ1028" s="24"/>
      <c r="AK1028" s="24"/>
      <c r="AL1028" s="24"/>
      <c r="AM1028" s="24"/>
      <c r="AN1028" s="24"/>
      <c r="AO1028" s="24"/>
      <c r="AP1028" s="24"/>
      <c r="AQ1028" s="24"/>
      <c r="AR1028" s="24"/>
      <c r="AS1028" s="24"/>
      <c r="AT1028" s="24"/>
      <c r="AU1028" s="24"/>
      <c r="AV1028" s="24"/>
      <c r="AW1028" s="24"/>
      <c r="AX1028" s="24"/>
      <c r="AY1028" s="24"/>
      <c r="AZ1028" s="24"/>
      <c r="BA1028" s="24"/>
      <c r="BB1028" s="24"/>
      <c r="BC1028" s="24"/>
      <c r="BD1028" s="24"/>
      <c r="BE1028" s="24"/>
      <c r="BF1028" s="24"/>
      <c r="BG1028" s="24"/>
      <c r="BH1028" s="24"/>
      <c r="BI1028" s="24"/>
      <c r="BJ1028" s="24"/>
      <c r="BK1028" s="24"/>
      <c r="BL1028" s="24"/>
      <c r="BM1028" s="24"/>
      <c r="BN1028" s="24"/>
      <c r="BO1028" s="24"/>
      <c r="BP1028" s="24"/>
      <c r="BQ1028" s="24"/>
      <c r="BR1028" s="24"/>
      <c r="BS1028" s="24"/>
      <c r="BT1028" s="24"/>
      <c r="BU1028" s="24"/>
      <c r="BV1028" s="24"/>
      <c r="BW1028" s="24"/>
      <c r="BX1028" s="24"/>
      <c r="BY1028" s="24"/>
      <c r="BZ1028" s="24"/>
      <c r="CA1028" s="24"/>
      <c r="CB1028" s="24"/>
      <c r="CC1028" s="24"/>
      <c r="CD1028" s="24"/>
    </row>
    <row r="1029" spans="2:82" ht="16.5" customHeight="1" x14ac:dyDescent="0.3">
      <c r="B1029" s="26"/>
      <c r="C1029" s="26"/>
      <c r="D1029" s="26"/>
      <c r="E1029" s="26"/>
      <c r="F1029" s="26"/>
      <c r="G1029" s="26"/>
      <c r="H1029" s="24"/>
      <c r="I1029" s="27"/>
      <c r="J1029" s="24"/>
      <c r="K1029" s="24"/>
      <c r="L1029" s="24"/>
      <c r="M1029" s="24"/>
      <c r="N1029" s="24"/>
      <c r="O1029" s="24"/>
      <c r="P1029" s="24"/>
      <c r="Q1029" s="24"/>
      <c r="R1029" s="24"/>
      <c r="S1029" s="24"/>
      <c r="T1029" s="24"/>
      <c r="U1029" s="24"/>
      <c r="V1029" s="24"/>
      <c r="W1029" s="24"/>
      <c r="X1029" s="24"/>
      <c r="Y1029" s="24"/>
      <c r="Z1029" s="24"/>
      <c r="AA1029" s="24"/>
      <c r="AB1029" s="24"/>
      <c r="AC1029" s="24"/>
      <c r="AD1029" s="24"/>
      <c r="AE1029" s="24"/>
      <c r="AF1029" s="24"/>
      <c r="AG1029" s="24"/>
      <c r="AH1029" s="24"/>
      <c r="AI1029" s="24"/>
      <c r="AJ1029" s="24"/>
      <c r="AK1029" s="24"/>
      <c r="AL1029" s="24"/>
      <c r="AM1029" s="24"/>
      <c r="AN1029" s="24"/>
      <c r="AO1029" s="24"/>
      <c r="AP1029" s="24"/>
      <c r="AQ1029" s="24"/>
      <c r="AR1029" s="24"/>
      <c r="AS1029" s="24"/>
      <c r="AT1029" s="24"/>
      <c r="AU1029" s="24"/>
      <c r="AV1029" s="24"/>
      <c r="AW1029" s="24"/>
      <c r="AX1029" s="24"/>
      <c r="AY1029" s="24"/>
      <c r="AZ1029" s="24"/>
      <c r="BA1029" s="24"/>
      <c r="BB1029" s="24"/>
      <c r="BC1029" s="24"/>
      <c r="BD1029" s="24"/>
      <c r="BE1029" s="24"/>
      <c r="BF1029" s="24"/>
      <c r="BG1029" s="24"/>
      <c r="BH1029" s="24"/>
      <c r="BI1029" s="24"/>
      <c r="BJ1029" s="24"/>
      <c r="BK1029" s="24"/>
      <c r="BL1029" s="24"/>
      <c r="BM1029" s="24"/>
      <c r="BN1029" s="24"/>
      <c r="BO1029" s="24"/>
      <c r="BP1029" s="24"/>
      <c r="BQ1029" s="24"/>
      <c r="BR1029" s="24"/>
      <c r="BS1029" s="24"/>
      <c r="BT1029" s="24"/>
      <c r="BU1029" s="24"/>
      <c r="BV1029" s="24"/>
      <c r="BW1029" s="24"/>
      <c r="BX1029" s="24"/>
      <c r="BY1029" s="24"/>
      <c r="BZ1029" s="24"/>
      <c r="CA1029" s="24"/>
      <c r="CB1029" s="24"/>
      <c r="CC1029" s="24"/>
      <c r="CD1029" s="24"/>
    </row>
    <row r="1030" spans="2:82" ht="16.5" customHeight="1" x14ac:dyDescent="0.3">
      <c r="B1030" s="26"/>
      <c r="C1030" s="26"/>
      <c r="D1030" s="26"/>
      <c r="E1030" s="26"/>
      <c r="F1030" s="26"/>
      <c r="G1030" s="26"/>
      <c r="H1030" s="24"/>
      <c r="I1030" s="27"/>
      <c r="J1030" s="24"/>
      <c r="K1030" s="24"/>
      <c r="L1030" s="24"/>
      <c r="M1030" s="24"/>
      <c r="N1030" s="24"/>
      <c r="O1030" s="24"/>
      <c r="P1030" s="24"/>
      <c r="Q1030" s="24"/>
      <c r="R1030" s="24"/>
      <c r="S1030" s="24"/>
      <c r="T1030" s="24"/>
      <c r="U1030" s="24"/>
      <c r="V1030" s="24"/>
      <c r="W1030" s="24"/>
      <c r="X1030" s="24"/>
      <c r="Y1030" s="24"/>
      <c r="Z1030" s="24"/>
      <c r="AA1030" s="24"/>
      <c r="AB1030" s="24"/>
      <c r="AC1030" s="24"/>
      <c r="AD1030" s="24"/>
      <c r="AE1030" s="24"/>
      <c r="AF1030" s="24"/>
      <c r="AG1030" s="24"/>
      <c r="AH1030" s="24"/>
      <c r="AI1030" s="24"/>
      <c r="AJ1030" s="24"/>
      <c r="AK1030" s="24"/>
      <c r="AL1030" s="24"/>
      <c r="AM1030" s="24"/>
      <c r="AN1030" s="24"/>
      <c r="AO1030" s="24"/>
      <c r="AP1030" s="24"/>
      <c r="AQ1030" s="24"/>
      <c r="AR1030" s="24"/>
      <c r="AS1030" s="24"/>
      <c r="AT1030" s="24"/>
      <c r="AU1030" s="24"/>
      <c r="AV1030" s="24"/>
      <c r="AW1030" s="24"/>
      <c r="AX1030" s="24"/>
      <c r="AY1030" s="24"/>
      <c r="AZ1030" s="24"/>
      <c r="BA1030" s="24"/>
      <c r="BB1030" s="24"/>
      <c r="BC1030" s="24"/>
      <c r="BD1030" s="24"/>
      <c r="BE1030" s="24"/>
      <c r="BF1030" s="24"/>
      <c r="BG1030" s="24"/>
      <c r="BH1030" s="24"/>
      <c r="BI1030" s="24"/>
      <c r="BJ1030" s="24"/>
      <c r="BK1030" s="24"/>
      <c r="BL1030" s="24"/>
      <c r="BM1030" s="24"/>
      <c r="BN1030" s="24"/>
      <c r="BO1030" s="24"/>
      <c r="BP1030" s="24"/>
      <c r="BQ1030" s="24"/>
      <c r="BR1030" s="24"/>
      <c r="BS1030" s="24"/>
      <c r="BT1030" s="24"/>
      <c r="BU1030" s="24"/>
      <c r="BV1030" s="24"/>
      <c r="BW1030" s="24"/>
      <c r="BX1030" s="24"/>
      <c r="BY1030" s="24"/>
      <c r="BZ1030" s="24"/>
      <c r="CA1030" s="24"/>
      <c r="CB1030" s="24"/>
      <c r="CC1030" s="24"/>
      <c r="CD1030" s="24"/>
    </row>
    <row r="1031" spans="2:82" ht="16.5" customHeight="1" x14ac:dyDescent="0.3">
      <c r="B1031" s="26"/>
      <c r="C1031" s="26"/>
      <c r="D1031" s="26"/>
      <c r="E1031" s="26"/>
      <c r="F1031" s="26"/>
      <c r="G1031" s="26"/>
      <c r="H1031" s="24"/>
      <c r="I1031" s="27"/>
      <c r="J1031" s="24"/>
      <c r="K1031" s="24"/>
      <c r="L1031" s="24"/>
      <c r="M1031" s="24"/>
      <c r="N1031" s="24"/>
      <c r="O1031" s="24"/>
      <c r="P1031" s="24"/>
      <c r="Q1031" s="24"/>
      <c r="R1031" s="24"/>
      <c r="S1031" s="24"/>
      <c r="T1031" s="24"/>
      <c r="U1031" s="24"/>
      <c r="V1031" s="24"/>
      <c r="W1031" s="24"/>
      <c r="X1031" s="24"/>
      <c r="Y1031" s="24"/>
      <c r="Z1031" s="24"/>
      <c r="AA1031" s="24"/>
      <c r="AB1031" s="24"/>
      <c r="AC1031" s="24"/>
      <c r="AD1031" s="24"/>
      <c r="AE1031" s="24"/>
      <c r="AF1031" s="24"/>
      <c r="AG1031" s="24"/>
      <c r="AH1031" s="24"/>
      <c r="AI1031" s="24"/>
      <c r="AJ1031" s="24"/>
      <c r="AK1031" s="24"/>
      <c r="AL1031" s="24"/>
      <c r="AM1031" s="24"/>
      <c r="AN1031" s="24"/>
      <c r="AO1031" s="24"/>
      <c r="AP1031" s="24"/>
      <c r="AQ1031" s="24"/>
      <c r="AR1031" s="24"/>
      <c r="AS1031" s="24"/>
      <c r="AT1031" s="24"/>
      <c r="AU1031" s="24"/>
      <c r="AV1031" s="24"/>
      <c r="AW1031" s="24"/>
      <c r="AX1031" s="24"/>
      <c r="AY1031" s="24"/>
      <c r="AZ1031" s="24"/>
      <c r="BA1031" s="24"/>
      <c r="BB1031" s="24"/>
      <c r="BC1031" s="24"/>
      <c r="BD1031" s="24"/>
      <c r="BE1031" s="24"/>
      <c r="BF1031" s="24"/>
      <c r="BG1031" s="24"/>
      <c r="BH1031" s="24"/>
      <c r="BI1031" s="24"/>
      <c r="BJ1031" s="24"/>
      <c r="BK1031" s="24"/>
      <c r="BL1031" s="24"/>
      <c r="BM1031" s="24"/>
      <c r="BN1031" s="24"/>
      <c r="BO1031" s="24"/>
      <c r="BP1031" s="24"/>
      <c r="BQ1031" s="24"/>
      <c r="BR1031" s="24"/>
      <c r="BS1031" s="24"/>
      <c r="BT1031" s="24"/>
      <c r="BU1031" s="24"/>
      <c r="BV1031" s="24"/>
      <c r="BW1031" s="24"/>
      <c r="BX1031" s="24"/>
      <c r="BY1031" s="24"/>
      <c r="BZ1031" s="24"/>
      <c r="CA1031" s="24"/>
      <c r="CB1031" s="24"/>
      <c r="CC1031" s="24"/>
      <c r="CD1031" s="24"/>
    </row>
    <row r="1032" spans="2:82" ht="16.5" customHeight="1" x14ac:dyDescent="0.3">
      <c r="B1032" s="26"/>
      <c r="C1032" s="26"/>
      <c r="D1032" s="26"/>
      <c r="E1032" s="26"/>
      <c r="F1032" s="26"/>
      <c r="G1032" s="26"/>
      <c r="H1032" s="24"/>
      <c r="I1032" s="27"/>
      <c r="J1032" s="24"/>
      <c r="K1032" s="24"/>
      <c r="L1032" s="24"/>
      <c r="M1032" s="24"/>
      <c r="N1032" s="24"/>
      <c r="O1032" s="24"/>
      <c r="P1032" s="24"/>
      <c r="Q1032" s="24"/>
      <c r="R1032" s="24"/>
      <c r="S1032" s="24"/>
      <c r="T1032" s="24"/>
      <c r="U1032" s="24"/>
      <c r="V1032" s="24"/>
      <c r="W1032" s="24"/>
      <c r="X1032" s="24"/>
      <c r="Y1032" s="24"/>
      <c r="Z1032" s="24"/>
      <c r="AA1032" s="24"/>
      <c r="AB1032" s="24"/>
      <c r="AC1032" s="24"/>
      <c r="AD1032" s="24"/>
      <c r="AE1032" s="24"/>
      <c r="AF1032" s="24"/>
      <c r="AG1032" s="24"/>
      <c r="AH1032" s="24"/>
      <c r="AI1032" s="24"/>
      <c r="AJ1032" s="24"/>
      <c r="AK1032" s="24"/>
      <c r="AL1032" s="24"/>
      <c r="AM1032" s="24"/>
      <c r="AN1032" s="24"/>
      <c r="AO1032" s="24"/>
      <c r="AP1032" s="24"/>
      <c r="AQ1032" s="24"/>
      <c r="AR1032" s="24"/>
      <c r="AS1032" s="24"/>
      <c r="AT1032" s="24"/>
      <c r="AU1032" s="24"/>
      <c r="AV1032" s="24"/>
      <c r="AW1032" s="24"/>
      <c r="AX1032" s="24"/>
      <c r="AY1032" s="24"/>
      <c r="AZ1032" s="24"/>
      <c r="BA1032" s="24"/>
      <c r="BB1032" s="24"/>
      <c r="BC1032" s="24"/>
      <c r="BD1032" s="24"/>
      <c r="BE1032" s="24"/>
      <c r="BF1032" s="24"/>
      <c r="BG1032" s="24"/>
      <c r="BH1032" s="24"/>
      <c r="BI1032" s="24"/>
      <c r="BJ1032" s="24"/>
      <c r="BK1032" s="24"/>
      <c r="BL1032" s="24"/>
      <c r="BM1032" s="24"/>
      <c r="BN1032" s="24"/>
      <c r="BO1032" s="24"/>
      <c r="BP1032" s="24"/>
      <c r="BQ1032" s="24"/>
      <c r="BR1032" s="24"/>
      <c r="BS1032" s="24"/>
      <c r="BT1032" s="24"/>
      <c r="BU1032" s="24"/>
      <c r="BV1032" s="24"/>
      <c r="BW1032" s="24"/>
      <c r="BX1032" s="24"/>
      <c r="BY1032" s="24"/>
      <c r="BZ1032" s="24"/>
      <c r="CA1032" s="24"/>
      <c r="CB1032" s="24"/>
      <c r="CC1032" s="24"/>
      <c r="CD1032" s="24"/>
    </row>
    <row r="1033" spans="2:82" ht="16.5" customHeight="1" x14ac:dyDescent="0.3">
      <c r="B1033" s="26"/>
      <c r="C1033" s="26"/>
      <c r="D1033" s="26"/>
      <c r="E1033" s="26"/>
      <c r="F1033" s="26"/>
      <c r="G1033" s="26"/>
      <c r="H1033" s="24"/>
      <c r="I1033" s="27"/>
      <c r="J1033" s="24"/>
      <c r="K1033" s="24"/>
      <c r="L1033" s="24"/>
      <c r="M1033" s="24"/>
      <c r="N1033" s="24"/>
      <c r="O1033" s="24"/>
      <c r="P1033" s="24"/>
      <c r="Q1033" s="24"/>
      <c r="R1033" s="24"/>
      <c r="S1033" s="24"/>
      <c r="T1033" s="24"/>
      <c r="U1033" s="24"/>
      <c r="V1033" s="24"/>
      <c r="W1033" s="24"/>
      <c r="X1033" s="24"/>
      <c r="Y1033" s="24"/>
      <c r="Z1033" s="24"/>
      <c r="AA1033" s="24"/>
      <c r="AB1033" s="24"/>
      <c r="AC1033" s="24"/>
      <c r="AD1033" s="24"/>
      <c r="AE1033" s="24"/>
      <c r="AF1033" s="24"/>
      <c r="AG1033" s="24"/>
      <c r="AH1033" s="24"/>
      <c r="AI1033" s="24"/>
      <c r="AJ1033" s="24"/>
      <c r="AK1033" s="24"/>
      <c r="AL1033" s="24"/>
      <c r="AM1033" s="24"/>
      <c r="AN1033" s="24"/>
      <c r="AO1033" s="24"/>
      <c r="AP1033" s="24"/>
      <c r="AQ1033" s="24"/>
      <c r="AR1033" s="24"/>
      <c r="AS1033" s="24"/>
      <c r="AT1033" s="24"/>
      <c r="AU1033" s="24"/>
      <c r="AV1033" s="24"/>
      <c r="AW1033" s="24"/>
      <c r="AX1033" s="24"/>
      <c r="AY1033" s="24"/>
      <c r="AZ1033" s="24"/>
      <c r="BA1033" s="24"/>
      <c r="BB1033" s="24"/>
      <c r="BC1033" s="24"/>
      <c r="BD1033" s="24"/>
      <c r="BE1033" s="24"/>
      <c r="BF1033" s="24"/>
      <c r="BG1033" s="24"/>
      <c r="BH1033" s="24"/>
      <c r="BI1033" s="24"/>
      <c r="BJ1033" s="24"/>
      <c r="BK1033" s="24"/>
      <c r="BL1033" s="24"/>
      <c r="BM1033" s="24"/>
      <c r="BN1033" s="24"/>
      <c r="BO1033" s="24"/>
      <c r="BP1033" s="24"/>
      <c r="BQ1033" s="24"/>
      <c r="BR1033" s="24"/>
      <c r="BS1033" s="24"/>
      <c r="BT1033" s="24"/>
      <c r="BU1033" s="24"/>
      <c r="BV1033" s="24"/>
      <c r="BW1033" s="24"/>
      <c r="BX1033" s="24"/>
      <c r="BY1033" s="24"/>
      <c r="BZ1033" s="24"/>
      <c r="CA1033" s="24"/>
      <c r="CB1033" s="24"/>
      <c r="CC1033" s="24"/>
      <c r="CD1033" s="24"/>
    </row>
    <row r="1034" spans="2:82" ht="16.5" customHeight="1" x14ac:dyDescent="0.3">
      <c r="B1034" s="26"/>
      <c r="C1034" s="26"/>
      <c r="D1034" s="26"/>
      <c r="E1034" s="26"/>
      <c r="F1034" s="26"/>
      <c r="G1034" s="26"/>
      <c r="H1034" s="24"/>
      <c r="I1034" s="27"/>
      <c r="J1034" s="24"/>
      <c r="K1034" s="24"/>
      <c r="L1034" s="24"/>
      <c r="M1034" s="24"/>
      <c r="N1034" s="24"/>
      <c r="O1034" s="24"/>
      <c r="P1034" s="24"/>
      <c r="Q1034" s="24"/>
      <c r="R1034" s="24"/>
      <c r="S1034" s="24"/>
      <c r="T1034" s="24"/>
      <c r="U1034" s="24"/>
      <c r="V1034" s="24"/>
      <c r="W1034" s="24"/>
      <c r="X1034" s="24"/>
      <c r="Y1034" s="24"/>
      <c r="Z1034" s="24"/>
      <c r="AA1034" s="24"/>
      <c r="AB1034" s="24"/>
      <c r="AC1034" s="24"/>
      <c r="AD1034" s="24"/>
      <c r="AE1034" s="24"/>
      <c r="AF1034" s="24"/>
      <c r="AG1034" s="24"/>
      <c r="AH1034" s="24"/>
      <c r="AI1034" s="24"/>
      <c r="AJ1034" s="24"/>
      <c r="AK1034" s="24"/>
      <c r="AL1034" s="24"/>
      <c r="AM1034" s="24"/>
      <c r="AN1034" s="24"/>
      <c r="AO1034" s="24"/>
      <c r="AP1034" s="24"/>
      <c r="AQ1034" s="24"/>
      <c r="AR1034" s="24"/>
      <c r="AS1034" s="24"/>
      <c r="AT1034" s="24"/>
      <c r="AU1034" s="24"/>
      <c r="AV1034" s="24"/>
      <c r="AW1034" s="24"/>
      <c r="AX1034" s="24"/>
      <c r="AY1034" s="24"/>
      <c r="AZ1034" s="24"/>
      <c r="BA1034" s="24"/>
      <c r="BB1034" s="24"/>
      <c r="BC1034" s="24"/>
      <c r="BD1034" s="24"/>
      <c r="BE1034" s="24"/>
      <c r="BF1034" s="24"/>
      <c r="BG1034" s="24"/>
      <c r="BH1034" s="24"/>
      <c r="BI1034" s="24"/>
      <c r="BJ1034" s="24"/>
      <c r="BK1034" s="24"/>
      <c r="BL1034" s="24"/>
      <c r="BM1034" s="24"/>
      <c r="BN1034" s="24"/>
      <c r="BO1034" s="24"/>
      <c r="BP1034" s="24"/>
      <c r="BQ1034" s="24"/>
      <c r="BR1034" s="24"/>
      <c r="BS1034" s="24"/>
      <c r="BT1034" s="24"/>
      <c r="BU1034" s="24"/>
      <c r="BV1034" s="24"/>
      <c r="BW1034" s="24"/>
      <c r="BX1034" s="24"/>
      <c r="BY1034" s="24"/>
      <c r="BZ1034" s="24"/>
      <c r="CA1034" s="24"/>
      <c r="CB1034" s="24"/>
      <c r="CC1034" s="24"/>
      <c r="CD1034" s="24"/>
    </row>
    <row r="1035" spans="2:82" ht="16.5" customHeight="1" x14ac:dyDescent="0.3">
      <c r="B1035" s="26"/>
      <c r="C1035" s="26"/>
      <c r="D1035" s="26"/>
      <c r="E1035" s="26"/>
      <c r="F1035" s="26"/>
      <c r="G1035" s="26"/>
      <c r="H1035" s="24"/>
      <c r="I1035" s="27"/>
      <c r="J1035" s="24"/>
      <c r="K1035" s="24"/>
      <c r="L1035" s="24"/>
      <c r="M1035" s="24"/>
      <c r="N1035" s="24"/>
      <c r="O1035" s="24"/>
      <c r="P1035" s="24"/>
      <c r="Q1035" s="24"/>
      <c r="R1035" s="24"/>
      <c r="S1035" s="24"/>
      <c r="T1035" s="24"/>
      <c r="U1035" s="24"/>
      <c r="V1035" s="24"/>
      <c r="W1035" s="24"/>
      <c r="X1035" s="24"/>
      <c r="Y1035" s="24"/>
      <c r="Z1035" s="24"/>
      <c r="AA1035" s="24"/>
      <c r="AB1035" s="24"/>
      <c r="AC1035" s="24"/>
      <c r="AD1035" s="24"/>
      <c r="AE1035" s="24"/>
      <c r="AF1035" s="24"/>
      <c r="AG1035" s="24"/>
      <c r="AH1035" s="24"/>
      <c r="AI1035" s="24"/>
      <c r="AJ1035" s="24"/>
      <c r="AK1035" s="24"/>
      <c r="AL1035" s="24"/>
      <c r="AM1035" s="24"/>
      <c r="AN1035" s="24"/>
      <c r="AO1035" s="24"/>
      <c r="AP1035" s="24"/>
      <c r="AQ1035" s="24"/>
      <c r="AR1035" s="24"/>
      <c r="AS1035" s="24"/>
      <c r="AT1035" s="24"/>
      <c r="AU1035" s="24"/>
      <c r="AV1035" s="24"/>
      <c r="AW1035" s="24"/>
      <c r="AX1035" s="24"/>
      <c r="AY1035" s="24"/>
      <c r="AZ1035" s="24"/>
      <c r="BA1035" s="24"/>
      <c r="BB1035" s="24"/>
      <c r="BC1035" s="24"/>
      <c r="BD1035" s="24"/>
      <c r="BE1035" s="24"/>
      <c r="BF1035" s="24"/>
      <c r="BG1035" s="24"/>
      <c r="BH1035" s="24"/>
      <c r="BI1035" s="24"/>
      <c r="BJ1035" s="24"/>
      <c r="BK1035" s="24"/>
      <c r="BL1035" s="24"/>
      <c r="BM1035" s="24"/>
      <c r="BN1035" s="24"/>
      <c r="BO1035" s="24"/>
      <c r="BP1035" s="24"/>
      <c r="BQ1035" s="24"/>
      <c r="BR1035" s="24"/>
      <c r="BS1035" s="24"/>
      <c r="BT1035" s="24"/>
      <c r="BU1035" s="24"/>
      <c r="BV1035" s="24"/>
      <c r="BW1035" s="24"/>
      <c r="BX1035" s="24"/>
      <c r="BY1035" s="24"/>
      <c r="BZ1035" s="24"/>
      <c r="CA1035" s="24"/>
      <c r="CB1035" s="24"/>
      <c r="CC1035" s="24"/>
      <c r="CD1035" s="24"/>
    </row>
    <row r="1036" spans="2:82" ht="16.5" customHeight="1" x14ac:dyDescent="0.3">
      <c r="B1036" s="26"/>
      <c r="C1036" s="26"/>
      <c r="D1036" s="26"/>
      <c r="E1036" s="26"/>
      <c r="F1036" s="26"/>
      <c r="G1036" s="26"/>
      <c r="H1036" s="24"/>
      <c r="I1036" s="27"/>
      <c r="J1036" s="24"/>
      <c r="K1036" s="24"/>
      <c r="L1036" s="24"/>
      <c r="M1036" s="24"/>
      <c r="N1036" s="24"/>
      <c r="O1036" s="24"/>
      <c r="P1036" s="24"/>
      <c r="Q1036" s="24"/>
      <c r="R1036" s="24"/>
      <c r="S1036" s="24"/>
      <c r="T1036" s="24"/>
      <c r="U1036" s="24"/>
      <c r="V1036" s="24"/>
      <c r="W1036" s="24"/>
      <c r="X1036" s="24"/>
      <c r="Y1036" s="24"/>
      <c r="Z1036" s="24"/>
      <c r="AA1036" s="24"/>
      <c r="AB1036" s="24"/>
      <c r="AC1036" s="24"/>
      <c r="AD1036" s="24"/>
      <c r="AE1036" s="24"/>
      <c r="AF1036" s="24"/>
      <c r="AG1036" s="24"/>
      <c r="AH1036" s="24"/>
      <c r="AI1036" s="24"/>
      <c r="AJ1036" s="24"/>
      <c r="AK1036" s="24"/>
      <c r="AL1036" s="24"/>
      <c r="AM1036" s="24"/>
      <c r="AN1036" s="24"/>
      <c r="AO1036" s="24"/>
      <c r="AP1036" s="24"/>
      <c r="AQ1036" s="24"/>
      <c r="AR1036" s="24"/>
      <c r="AS1036" s="24"/>
      <c r="AT1036" s="24"/>
      <c r="AU1036" s="24"/>
      <c r="AV1036" s="24"/>
      <c r="AW1036" s="24"/>
      <c r="AX1036" s="24"/>
      <c r="AY1036" s="24"/>
      <c r="AZ1036" s="24"/>
      <c r="BA1036" s="24"/>
      <c r="BB1036" s="24"/>
      <c r="BC1036" s="24"/>
      <c r="BD1036" s="24"/>
      <c r="BE1036" s="24"/>
      <c r="BF1036" s="24"/>
      <c r="BG1036" s="24"/>
      <c r="BH1036" s="24"/>
      <c r="BI1036" s="24"/>
      <c r="BJ1036" s="24"/>
      <c r="BK1036" s="24"/>
      <c r="BL1036" s="24"/>
      <c r="BM1036" s="24"/>
      <c r="BN1036" s="24"/>
      <c r="BO1036" s="24"/>
      <c r="BP1036" s="24"/>
      <c r="BQ1036" s="24"/>
      <c r="BR1036" s="24"/>
      <c r="BS1036" s="24"/>
      <c r="BT1036" s="24"/>
      <c r="BU1036" s="24"/>
      <c r="BV1036" s="24"/>
      <c r="BW1036" s="24"/>
      <c r="BX1036" s="24"/>
      <c r="BY1036" s="24"/>
      <c r="BZ1036" s="24"/>
      <c r="CA1036" s="24"/>
      <c r="CB1036" s="24"/>
      <c r="CC1036" s="24"/>
      <c r="CD1036" s="24"/>
    </row>
    <row r="1037" spans="2:82" ht="16.5" customHeight="1" x14ac:dyDescent="0.3">
      <c r="B1037" s="26"/>
      <c r="C1037" s="26"/>
      <c r="D1037" s="26"/>
      <c r="E1037" s="26"/>
      <c r="F1037" s="26"/>
      <c r="G1037" s="26"/>
      <c r="H1037" s="24"/>
      <c r="I1037" s="27"/>
      <c r="J1037" s="24"/>
      <c r="K1037" s="24"/>
      <c r="L1037" s="24"/>
      <c r="M1037" s="24"/>
      <c r="N1037" s="24"/>
      <c r="O1037" s="24"/>
      <c r="P1037" s="24"/>
      <c r="Q1037" s="24"/>
      <c r="R1037" s="24"/>
      <c r="S1037" s="24"/>
      <c r="T1037" s="24"/>
      <c r="U1037" s="24"/>
      <c r="V1037" s="24"/>
      <c r="W1037" s="24"/>
      <c r="X1037" s="24"/>
      <c r="Y1037" s="24"/>
      <c r="Z1037" s="24"/>
      <c r="AA1037" s="24"/>
      <c r="AB1037" s="24"/>
      <c r="AC1037" s="24"/>
      <c r="AD1037" s="24"/>
      <c r="AE1037" s="24"/>
      <c r="AF1037" s="24"/>
      <c r="AG1037" s="24"/>
      <c r="AH1037" s="24"/>
      <c r="AI1037" s="24"/>
      <c r="AJ1037" s="24"/>
      <c r="AK1037" s="24"/>
      <c r="AL1037" s="24"/>
      <c r="AM1037" s="24"/>
      <c r="AN1037" s="24"/>
      <c r="AO1037" s="24"/>
      <c r="AP1037" s="24"/>
      <c r="AQ1037" s="24"/>
      <c r="AR1037" s="24"/>
      <c r="AS1037" s="24"/>
      <c r="AT1037" s="24"/>
      <c r="AU1037" s="24"/>
      <c r="AV1037" s="24"/>
      <c r="AW1037" s="24"/>
      <c r="AX1037" s="24"/>
      <c r="AY1037" s="24"/>
      <c r="AZ1037" s="24"/>
      <c r="BA1037" s="24"/>
      <c r="BB1037" s="24"/>
      <c r="BC1037" s="24"/>
      <c r="BD1037" s="24"/>
      <c r="BE1037" s="24"/>
      <c r="BF1037" s="24"/>
      <c r="BG1037" s="24"/>
      <c r="BH1037" s="24"/>
      <c r="BI1037" s="24"/>
      <c r="BJ1037" s="24"/>
      <c r="BK1037" s="24"/>
      <c r="BL1037" s="24"/>
      <c r="BM1037" s="24"/>
      <c r="BN1037" s="24"/>
      <c r="BO1037" s="24"/>
      <c r="BP1037" s="24"/>
      <c r="BQ1037" s="24"/>
      <c r="BR1037" s="24"/>
      <c r="BS1037" s="24"/>
      <c r="BT1037" s="24"/>
      <c r="BU1037" s="24"/>
      <c r="BV1037" s="24"/>
      <c r="BW1037" s="24"/>
      <c r="BX1037" s="24"/>
      <c r="BY1037" s="24"/>
      <c r="BZ1037" s="24"/>
      <c r="CA1037" s="24"/>
      <c r="CB1037" s="24"/>
      <c r="CC1037" s="24"/>
      <c r="CD1037" s="24"/>
    </row>
    <row r="1038" spans="2:82" ht="16.5" customHeight="1" x14ac:dyDescent="0.3">
      <c r="B1038" s="26"/>
      <c r="C1038" s="26"/>
      <c r="D1038" s="26"/>
      <c r="E1038" s="26"/>
      <c r="F1038" s="26"/>
      <c r="G1038" s="26"/>
      <c r="H1038" s="24"/>
      <c r="I1038" s="27"/>
      <c r="J1038" s="24"/>
      <c r="K1038" s="24"/>
      <c r="L1038" s="24"/>
      <c r="M1038" s="24"/>
      <c r="N1038" s="24"/>
      <c r="O1038" s="24"/>
      <c r="P1038" s="24"/>
      <c r="Q1038" s="24"/>
      <c r="R1038" s="24"/>
      <c r="S1038" s="24"/>
      <c r="T1038" s="24"/>
      <c r="U1038" s="24"/>
      <c r="V1038" s="24"/>
      <c r="W1038" s="24"/>
      <c r="X1038" s="24"/>
      <c r="Y1038" s="24"/>
      <c r="Z1038" s="24"/>
      <c r="AA1038" s="24"/>
      <c r="AB1038" s="24"/>
      <c r="AC1038" s="24"/>
      <c r="AD1038" s="24"/>
      <c r="AE1038" s="24"/>
      <c r="AF1038" s="24"/>
      <c r="AG1038" s="24"/>
      <c r="AH1038" s="24"/>
      <c r="AI1038" s="24"/>
      <c r="AJ1038" s="24"/>
      <c r="AK1038" s="24"/>
      <c r="AL1038" s="24"/>
      <c r="AM1038" s="24"/>
      <c r="AN1038" s="24"/>
      <c r="AO1038" s="24"/>
      <c r="AP1038" s="24"/>
      <c r="AQ1038" s="24"/>
      <c r="AR1038" s="24"/>
      <c r="AS1038" s="24"/>
      <c r="AT1038" s="24"/>
      <c r="AU1038" s="24"/>
      <c r="AV1038" s="24"/>
      <c r="AW1038" s="24"/>
      <c r="AX1038" s="24"/>
      <c r="AY1038" s="24"/>
      <c r="AZ1038" s="24"/>
      <c r="BA1038" s="24"/>
      <c r="BB1038" s="24"/>
      <c r="BC1038" s="24"/>
      <c r="BD1038" s="24"/>
      <c r="BE1038" s="24"/>
      <c r="BF1038" s="24"/>
      <c r="BG1038" s="24"/>
      <c r="BH1038" s="24"/>
      <c r="BI1038" s="24"/>
      <c r="BJ1038" s="24"/>
      <c r="BK1038" s="24"/>
      <c r="BL1038" s="24"/>
      <c r="BM1038" s="24"/>
      <c r="BN1038" s="24"/>
      <c r="BO1038" s="24"/>
      <c r="BP1038" s="24"/>
      <c r="BQ1038" s="24"/>
      <c r="BR1038" s="24"/>
      <c r="BS1038" s="24"/>
      <c r="BT1038" s="24"/>
      <c r="BU1038" s="24"/>
      <c r="BV1038" s="24"/>
      <c r="BW1038" s="24"/>
      <c r="BX1038" s="24"/>
      <c r="BY1038" s="24"/>
      <c r="BZ1038" s="24"/>
      <c r="CA1038" s="24"/>
      <c r="CB1038" s="24"/>
      <c r="CC1038" s="24"/>
      <c r="CD1038" s="24"/>
    </row>
    <row r="1039" spans="2:82" ht="16.5" customHeight="1" x14ac:dyDescent="0.3">
      <c r="B1039" s="26"/>
      <c r="C1039" s="26"/>
      <c r="D1039" s="26"/>
      <c r="E1039" s="26"/>
      <c r="F1039" s="26"/>
      <c r="G1039" s="26"/>
      <c r="H1039" s="24"/>
      <c r="I1039" s="27"/>
      <c r="J1039" s="24"/>
      <c r="K1039" s="24"/>
      <c r="L1039" s="24"/>
      <c r="M1039" s="24"/>
      <c r="N1039" s="24"/>
      <c r="O1039" s="24"/>
      <c r="P1039" s="24"/>
      <c r="Q1039" s="24"/>
      <c r="R1039" s="24"/>
      <c r="S1039" s="24"/>
      <c r="T1039" s="24"/>
      <c r="U1039" s="24"/>
      <c r="V1039" s="24"/>
      <c r="W1039" s="24"/>
      <c r="X1039" s="24"/>
      <c r="Y1039" s="24"/>
      <c r="Z1039" s="24"/>
      <c r="AA1039" s="24"/>
      <c r="AB1039" s="24"/>
      <c r="AC1039" s="24"/>
      <c r="AD1039" s="24"/>
      <c r="AE1039" s="24"/>
      <c r="AF1039" s="24"/>
      <c r="AG1039" s="24"/>
      <c r="AH1039" s="24"/>
      <c r="AI1039" s="24"/>
      <c r="AJ1039" s="24"/>
      <c r="AK1039" s="24"/>
      <c r="AL1039" s="24"/>
      <c r="AM1039" s="24"/>
      <c r="AN1039" s="24"/>
      <c r="AO1039" s="24"/>
      <c r="AP1039" s="24"/>
      <c r="AQ1039" s="24"/>
      <c r="AR1039" s="24"/>
      <c r="AS1039" s="24"/>
      <c r="AT1039" s="24"/>
      <c r="AU1039" s="24"/>
      <c r="AV1039" s="24"/>
      <c r="AW1039" s="24"/>
      <c r="AX1039" s="24"/>
      <c r="AY1039" s="24"/>
      <c r="AZ1039" s="24"/>
      <c r="BA1039" s="24"/>
      <c r="BB1039" s="24"/>
      <c r="BC1039" s="24"/>
      <c r="BD1039" s="24"/>
      <c r="BE1039" s="24"/>
      <c r="BF1039" s="24"/>
      <c r="BG1039" s="24"/>
      <c r="BH1039" s="24"/>
      <c r="BI1039" s="24"/>
      <c r="BJ1039" s="24"/>
      <c r="BK1039" s="24"/>
      <c r="BL1039" s="24"/>
      <c r="BM1039" s="24"/>
      <c r="BN1039" s="24"/>
      <c r="BO1039" s="24"/>
      <c r="BP1039" s="24"/>
      <c r="BQ1039" s="24"/>
      <c r="BR1039" s="24"/>
      <c r="BS1039" s="24"/>
      <c r="BT1039" s="24"/>
      <c r="BU1039" s="24"/>
      <c r="BV1039" s="24"/>
      <c r="BW1039" s="24"/>
      <c r="BX1039" s="24"/>
      <c r="BY1039" s="24"/>
      <c r="BZ1039" s="24"/>
      <c r="CA1039" s="24"/>
      <c r="CB1039" s="24"/>
      <c r="CC1039" s="24"/>
      <c r="CD1039" s="24"/>
    </row>
    <row r="1040" spans="2:82" ht="16.5" customHeight="1" x14ac:dyDescent="0.3">
      <c r="B1040" s="26"/>
      <c r="C1040" s="26"/>
      <c r="D1040" s="26"/>
      <c r="E1040" s="26"/>
      <c r="F1040" s="26"/>
      <c r="G1040" s="26"/>
      <c r="H1040" s="24"/>
      <c r="I1040" s="27"/>
      <c r="J1040" s="24"/>
      <c r="K1040" s="24"/>
      <c r="L1040" s="24"/>
      <c r="M1040" s="24"/>
      <c r="N1040" s="24"/>
      <c r="O1040" s="24"/>
      <c r="P1040" s="24"/>
      <c r="Q1040" s="24"/>
      <c r="R1040" s="24"/>
      <c r="S1040" s="24"/>
      <c r="T1040" s="24"/>
      <c r="U1040" s="24"/>
      <c r="V1040" s="24"/>
      <c r="W1040" s="24"/>
      <c r="X1040" s="24"/>
      <c r="Y1040" s="24"/>
      <c r="Z1040" s="24"/>
      <c r="AA1040" s="24"/>
      <c r="AB1040" s="24"/>
      <c r="AC1040" s="24"/>
      <c r="AD1040" s="24"/>
      <c r="AE1040" s="24"/>
      <c r="AF1040" s="24"/>
      <c r="AG1040" s="24"/>
      <c r="AH1040" s="24"/>
      <c r="AI1040" s="24"/>
      <c r="AJ1040" s="24"/>
      <c r="AK1040" s="24"/>
      <c r="AL1040" s="24"/>
      <c r="AM1040" s="24"/>
      <c r="AN1040" s="24"/>
      <c r="AO1040" s="24"/>
      <c r="AP1040" s="24"/>
      <c r="AQ1040" s="24"/>
      <c r="AR1040" s="24"/>
      <c r="AS1040" s="24"/>
      <c r="AT1040" s="24"/>
      <c r="AU1040" s="24"/>
      <c r="AV1040" s="24"/>
      <c r="AW1040" s="24"/>
      <c r="AX1040" s="24"/>
      <c r="AY1040" s="24"/>
      <c r="AZ1040" s="24"/>
      <c r="BA1040" s="24"/>
      <c r="BB1040" s="24"/>
      <c r="BC1040" s="24"/>
      <c r="BD1040" s="24"/>
      <c r="BE1040" s="24"/>
      <c r="BF1040" s="24"/>
      <c r="BG1040" s="24"/>
      <c r="BH1040" s="24"/>
      <c r="BI1040" s="24"/>
      <c r="BJ1040" s="24"/>
      <c r="BK1040" s="24"/>
      <c r="BL1040" s="24"/>
      <c r="BM1040" s="24"/>
      <c r="BN1040" s="24"/>
      <c r="BO1040" s="24"/>
      <c r="BP1040" s="24"/>
      <c r="BQ1040" s="24"/>
      <c r="BR1040" s="24"/>
      <c r="BS1040" s="24"/>
      <c r="BT1040" s="24"/>
      <c r="BU1040" s="24"/>
      <c r="BV1040" s="24"/>
      <c r="BW1040" s="24"/>
      <c r="BX1040" s="24"/>
      <c r="BY1040" s="24"/>
      <c r="BZ1040" s="24"/>
      <c r="CA1040" s="24"/>
      <c r="CB1040" s="24"/>
      <c r="CC1040" s="24"/>
      <c r="CD1040" s="24"/>
    </row>
    <row r="1041" spans="2:82" ht="16.5" customHeight="1" x14ac:dyDescent="0.3">
      <c r="B1041" s="26"/>
      <c r="C1041" s="26"/>
      <c r="D1041" s="26"/>
      <c r="E1041" s="26"/>
      <c r="F1041" s="26"/>
      <c r="G1041" s="26"/>
      <c r="H1041" s="24"/>
      <c r="I1041" s="27"/>
      <c r="J1041" s="24"/>
      <c r="K1041" s="24"/>
      <c r="L1041" s="24"/>
      <c r="M1041" s="24"/>
      <c r="N1041" s="24"/>
      <c r="O1041" s="24"/>
      <c r="P1041" s="24"/>
      <c r="Q1041" s="24"/>
      <c r="R1041" s="24"/>
      <c r="S1041" s="24"/>
      <c r="T1041" s="24"/>
      <c r="U1041" s="24"/>
      <c r="V1041" s="24"/>
      <c r="W1041" s="24"/>
      <c r="X1041" s="24"/>
      <c r="Y1041" s="24"/>
      <c r="Z1041" s="24"/>
      <c r="AA1041" s="24"/>
      <c r="AB1041" s="24"/>
      <c r="AC1041" s="24"/>
      <c r="AD1041" s="24"/>
      <c r="AE1041" s="24"/>
      <c r="AF1041" s="24"/>
      <c r="AG1041" s="24"/>
      <c r="AH1041" s="24"/>
      <c r="AI1041" s="24"/>
      <c r="AJ1041" s="24"/>
      <c r="AK1041" s="24"/>
      <c r="AL1041" s="24"/>
      <c r="AM1041" s="24"/>
      <c r="AN1041" s="24"/>
      <c r="AO1041" s="24"/>
      <c r="AP1041" s="24"/>
      <c r="AQ1041" s="24"/>
      <c r="AR1041" s="24"/>
      <c r="AS1041" s="24"/>
      <c r="AT1041" s="24"/>
      <c r="AU1041" s="24"/>
      <c r="AV1041" s="24"/>
      <c r="AW1041" s="24"/>
      <c r="AX1041" s="24"/>
      <c r="AY1041" s="24"/>
      <c r="AZ1041" s="24"/>
      <c r="BA1041" s="24"/>
      <c r="BB1041" s="24"/>
      <c r="BC1041" s="24"/>
      <c r="BD1041" s="24"/>
      <c r="BE1041" s="24"/>
      <c r="BF1041" s="24"/>
      <c r="BG1041" s="24"/>
      <c r="BH1041" s="24"/>
      <c r="BI1041" s="24"/>
      <c r="BJ1041" s="24"/>
      <c r="BK1041" s="24"/>
      <c r="BL1041" s="24"/>
      <c r="BM1041" s="24"/>
      <c r="BN1041" s="24"/>
      <c r="BO1041" s="24"/>
      <c r="BP1041" s="24"/>
      <c r="BQ1041" s="24"/>
      <c r="BR1041" s="24"/>
      <c r="BS1041" s="24"/>
      <c r="BT1041" s="24"/>
      <c r="BU1041" s="24"/>
      <c r="BV1041" s="24"/>
      <c r="BW1041" s="24"/>
      <c r="BX1041" s="24"/>
      <c r="BY1041" s="24"/>
      <c r="BZ1041" s="24"/>
      <c r="CA1041" s="24"/>
      <c r="CB1041" s="24"/>
      <c r="CC1041" s="24"/>
      <c r="CD1041" s="24"/>
    </row>
    <row r="1042" spans="2:82" ht="16.5" customHeight="1" x14ac:dyDescent="0.3">
      <c r="B1042" s="26"/>
      <c r="C1042" s="26"/>
      <c r="D1042" s="26"/>
      <c r="E1042" s="26"/>
      <c r="F1042" s="26"/>
      <c r="G1042" s="26"/>
      <c r="H1042" s="24"/>
      <c r="I1042" s="27"/>
      <c r="J1042" s="24"/>
      <c r="K1042" s="24"/>
      <c r="L1042" s="24"/>
      <c r="M1042" s="24"/>
      <c r="N1042" s="24"/>
      <c r="O1042" s="24"/>
      <c r="P1042" s="24"/>
      <c r="Q1042" s="24"/>
      <c r="R1042" s="24"/>
      <c r="S1042" s="24"/>
      <c r="T1042" s="24"/>
      <c r="U1042" s="24"/>
      <c r="V1042" s="24"/>
      <c r="W1042" s="24"/>
      <c r="X1042" s="24"/>
      <c r="Y1042" s="24"/>
      <c r="Z1042" s="24"/>
      <c r="AA1042" s="24"/>
      <c r="AB1042" s="24"/>
      <c r="AC1042" s="24"/>
      <c r="AD1042" s="24"/>
      <c r="AE1042" s="24"/>
      <c r="AF1042" s="24"/>
      <c r="AG1042" s="24"/>
      <c r="AH1042" s="24"/>
      <c r="AI1042" s="24"/>
      <c r="AJ1042" s="24"/>
      <c r="AK1042" s="24"/>
      <c r="AL1042" s="24"/>
      <c r="AM1042" s="24"/>
      <c r="AN1042" s="24"/>
      <c r="AO1042" s="24"/>
      <c r="AP1042" s="24"/>
      <c r="AQ1042" s="24"/>
      <c r="AR1042" s="24"/>
      <c r="AS1042" s="24"/>
      <c r="AT1042" s="24"/>
      <c r="AU1042" s="24"/>
      <c r="AV1042" s="24"/>
      <c r="AW1042" s="24"/>
      <c r="AX1042" s="24"/>
      <c r="AY1042" s="24"/>
      <c r="AZ1042" s="24"/>
      <c r="BA1042" s="24"/>
      <c r="BB1042" s="24"/>
      <c r="BC1042" s="24"/>
      <c r="BD1042" s="24"/>
      <c r="BE1042" s="24"/>
      <c r="BF1042" s="24"/>
      <c r="BG1042" s="24"/>
      <c r="BH1042" s="24"/>
      <c r="BI1042" s="24"/>
      <c r="BJ1042" s="24"/>
      <c r="BK1042" s="24"/>
      <c r="BL1042" s="24"/>
      <c r="BM1042" s="24"/>
      <c r="BN1042" s="24"/>
      <c r="BO1042" s="24"/>
      <c r="BP1042" s="24"/>
      <c r="BQ1042" s="24"/>
      <c r="BR1042" s="24"/>
      <c r="BS1042" s="24"/>
      <c r="BT1042" s="24"/>
      <c r="BU1042" s="24"/>
      <c r="BV1042" s="24"/>
      <c r="BW1042" s="24"/>
      <c r="BX1042" s="24"/>
      <c r="BY1042" s="24"/>
      <c r="BZ1042" s="24"/>
      <c r="CA1042" s="24"/>
      <c r="CB1042" s="24"/>
      <c r="CC1042" s="24"/>
      <c r="CD1042" s="24"/>
    </row>
    <row r="1043" spans="2:82" ht="16.5" customHeight="1" x14ac:dyDescent="0.3">
      <c r="B1043" s="26"/>
      <c r="C1043" s="26"/>
      <c r="D1043" s="26"/>
      <c r="E1043" s="26"/>
      <c r="F1043" s="26"/>
      <c r="G1043" s="26"/>
      <c r="H1043" s="24"/>
      <c r="I1043" s="27"/>
      <c r="J1043" s="24"/>
      <c r="K1043" s="24"/>
      <c r="L1043" s="24"/>
      <c r="M1043" s="24"/>
      <c r="N1043" s="24"/>
      <c r="O1043" s="24"/>
      <c r="P1043" s="24"/>
      <c r="Q1043" s="24"/>
      <c r="R1043" s="24"/>
      <c r="S1043" s="24"/>
      <c r="T1043" s="24"/>
      <c r="U1043" s="24"/>
      <c r="V1043" s="24"/>
      <c r="W1043" s="24"/>
      <c r="X1043" s="24"/>
      <c r="Y1043" s="24"/>
      <c r="Z1043" s="24"/>
      <c r="AA1043" s="24"/>
      <c r="AB1043" s="24"/>
      <c r="AC1043" s="24"/>
      <c r="AD1043" s="24"/>
      <c r="AE1043" s="24"/>
      <c r="AF1043" s="24"/>
      <c r="AG1043" s="24"/>
      <c r="AH1043" s="24"/>
      <c r="AI1043" s="24"/>
      <c r="AJ1043" s="24"/>
      <c r="AK1043" s="24"/>
      <c r="AL1043" s="24"/>
      <c r="AM1043" s="24"/>
      <c r="AN1043" s="24"/>
      <c r="AO1043" s="24"/>
      <c r="AP1043" s="24"/>
      <c r="AQ1043" s="24"/>
      <c r="AR1043" s="24"/>
      <c r="AS1043" s="24"/>
      <c r="AT1043" s="24"/>
      <c r="AU1043" s="24"/>
      <c r="AV1043" s="24"/>
      <c r="AW1043" s="24"/>
      <c r="AX1043" s="24"/>
      <c r="AY1043" s="24"/>
      <c r="AZ1043" s="24"/>
      <c r="BA1043" s="24"/>
      <c r="BB1043" s="24"/>
      <c r="BC1043" s="24"/>
      <c r="BD1043" s="24"/>
      <c r="BE1043" s="24"/>
      <c r="BF1043" s="24"/>
      <c r="BG1043" s="24"/>
      <c r="BH1043" s="24"/>
      <c r="BI1043" s="24"/>
      <c r="BJ1043" s="24"/>
      <c r="BK1043" s="24"/>
      <c r="BL1043" s="24"/>
      <c r="BM1043" s="24"/>
      <c r="BN1043" s="24"/>
      <c r="BO1043" s="24"/>
      <c r="BP1043" s="24"/>
      <c r="BQ1043" s="24"/>
      <c r="BR1043" s="24"/>
      <c r="BS1043" s="24"/>
      <c r="BT1043" s="24"/>
      <c r="BU1043" s="24"/>
      <c r="BV1043" s="24"/>
      <c r="BW1043" s="24"/>
      <c r="BX1043" s="24"/>
      <c r="BY1043" s="24"/>
      <c r="BZ1043" s="24"/>
      <c r="CA1043" s="24"/>
      <c r="CB1043" s="24"/>
      <c r="CC1043" s="24"/>
      <c r="CD1043" s="24"/>
    </row>
    <row r="1044" spans="2:82" ht="16.5" customHeight="1" x14ac:dyDescent="0.3">
      <c r="B1044" s="26"/>
      <c r="C1044" s="26"/>
      <c r="D1044" s="26"/>
      <c r="E1044" s="26"/>
      <c r="F1044" s="26"/>
      <c r="G1044" s="26"/>
      <c r="H1044" s="24"/>
      <c r="I1044" s="27"/>
      <c r="J1044" s="24"/>
      <c r="K1044" s="24"/>
      <c r="L1044" s="24"/>
      <c r="M1044" s="24"/>
      <c r="N1044" s="24"/>
      <c r="O1044" s="24"/>
      <c r="P1044" s="24"/>
      <c r="Q1044" s="24"/>
      <c r="R1044" s="24"/>
      <c r="S1044" s="24"/>
      <c r="T1044" s="24"/>
      <c r="U1044" s="24"/>
      <c r="V1044" s="24"/>
      <c r="W1044" s="24"/>
      <c r="X1044" s="24"/>
      <c r="Y1044" s="24"/>
      <c r="Z1044" s="24"/>
      <c r="AA1044" s="24"/>
      <c r="AB1044" s="24"/>
      <c r="AC1044" s="24"/>
      <c r="AD1044" s="24"/>
      <c r="AE1044" s="24"/>
      <c r="AF1044" s="24"/>
      <c r="AG1044" s="24"/>
      <c r="AH1044" s="24"/>
      <c r="AI1044" s="24"/>
      <c r="AJ1044" s="24"/>
      <c r="AK1044" s="24"/>
      <c r="AL1044" s="24"/>
      <c r="AM1044" s="24"/>
      <c r="AN1044" s="24"/>
      <c r="AO1044" s="24"/>
      <c r="AP1044" s="24"/>
      <c r="AQ1044" s="24"/>
      <c r="AR1044" s="24"/>
      <c r="AS1044" s="24"/>
      <c r="AT1044" s="24"/>
      <c r="AU1044" s="24"/>
      <c r="AV1044" s="24"/>
      <c r="AW1044" s="24"/>
      <c r="AX1044" s="24"/>
      <c r="AY1044" s="24"/>
      <c r="AZ1044" s="24"/>
      <c r="BA1044" s="24"/>
      <c r="BB1044" s="24"/>
      <c r="BC1044" s="24"/>
      <c r="BD1044" s="24"/>
      <c r="BE1044" s="24"/>
      <c r="BF1044" s="24"/>
      <c r="BG1044" s="24"/>
      <c r="BH1044" s="24"/>
      <c r="BI1044" s="24"/>
      <c r="BJ1044" s="24"/>
      <c r="BK1044" s="24"/>
      <c r="BL1044" s="24"/>
      <c r="BM1044" s="24"/>
      <c r="BN1044" s="24"/>
      <c r="BO1044" s="24"/>
      <c r="BP1044" s="24"/>
      <c r="BQ1044" s="24"/>
      <c r="BR1044" s="24"/>
      <c r="BS1044" s="24"/>
      <c r="BT1044" s="24"/>
      <c r="BU1044" s="24"/>
      <c r="BV1044" s="24"/>
      <c r="BW1044" s="24"/>
      <c r="BX1044" s="24"/>
      <c r="BY1044" s="24"/>
      <c r="BZ1044" s="24"/>
      <c r="CA1044" s="24"/>
      <c r="CB1044" s="24"/>
      <c r="CC1044" s="24"/>
      <c r="CD1044" s="24"/>
    </row>
    <row r="1045" spans="2:82" ht="16.5" customHeight="1" x14ac:dyDescent="0.3">
      <c r="B1045" s="26"/>
      <c r="C1045" s="26"/>
      <c r="D1045" s="26"/>
      <c r="E1045" s="26"/>
      <c r="F1045" s="26"/>
      <c r="G1045" s="26"/>
      <c r="H1045" s="24"/>
      <c r="I1045" s="27"/>
      <c r="J1045" s="24"/>
      <c r="K1045" s="24"/>
      <c r="L1045" s="24"/>
      <c r="M1045" s="24"/>
      <c r="N1045" s="24"/>
      <c r="O1045" s="24"/>
      <c r="P1045" s="24"/>
      <c r="Q1045" s="24"/>
      <c r="R1045" s="24"/>
      <c r="S1045" s="24"/>
      <c r="T1045" s="24"/>
      <c r="U1045" s="24"/>
      <c r="V1045" s="24"/>
      <c r="W1045" s="24"/>
      <c r="X1045" s="24"/>
      <c r="Y1045" s="24"/>
      <c r="Z1045" s="24"/>
      <c r="AA1045" s="24"/>
      <c r="AB1045" s="24"/>
      <c r="AC1045" s="24"/>
      <c r="AD1045" s="24"/>
      <c r="AE1045" s="24"/>
      <c r="AF1045" s="24"/>
      <c r="AG1045" s="24"/>
      <c r="AH1045" s="24"/>
      <c r="AI1045" s="24"/>
      <c r="AJ1045" s="24"/>
      <c r="AK1045" s="24"/>
      <c r="AL1045" s="24"/>
      <c r="AM1045" s="24"/>
      <c r="AN1045" s="24"/>
      <c r="AO1045" s="24"/>
      <c r="AP1045" s="24"/>
      <c r="AQ1045" s="24"/>
      <c r="AR1045" s="24"/>
      <c r="AS1045" s="24"/>
      <c r="AT1045" s="24"/>
      <c r="AU1045" s="24"/>
      <c r="AV1045" s="24"/>
      <c r="AW1045" s="24"/>
      <c r="AX1045" s="24"/>
      <c r="AY1045" s="24"/>
      <c r="AZ1045" s="24"/>
      <c r="BA1045" s="24"/>
      <c r="BB1045" s="24"/>
      <c r="BC1045" s="24"/>
      <c r="BD1045" s="24"/>
      <c r="BE1045" s="24"/>
      <c r="BF1045" s="24"/>
      <c r="BG1045" s="24"/>
      <c r="BH1045" s="24"/>
      <c r="BI1045" s="24"/>
      <c r="BJ1045" s="24"/>
      <c r="BK1045" s="24"/>
      <c r="BL1045" s="24"/>
      <c r="BM1045" s="24"/>
      <c r="BN1045" s="24"/>
      <c r="BO1045" s="24"/>
      <c r="BP1045" s="24"/>
      <c r="BQ1045" s="24"/>
      <c r="BR1045" s="24"/>
      <c r="BS1045" s="24"/>
      <c r="BT1045" s="24"/>
      <c r="BU1045" s="24"/>
      <c r="BV1045" s="24"/>
      <c r="BW1045" s="24"/>
      <c r="BX1045" s="24"/>
      <c r="BY1045" s="24"/>
      <c r="BZ1045" s="24"/>
      <c r="CA1045" s="24"/>
      <c r="CB1045" s="24"/>
      <c r="CC1045" s="24"/>
      <c r="CD1045" s="24"/>
    </row>
    <row r="1046" spans="2:82" ht="16.5" customHeight="1" x14ac:dyDescent="0.3">
      <c r="B1046" s="26"/>
      <c r="C1046" s="26"/>
      <c r="D1046" s="26"/>
      <c r="E1046" s="26"/>
      <c r="F1046" s="26"/>
      <c r="G1046" s="26"/>
      <c r="H1046" s="24"/>
      <c r="I1046" s="27"/>
      <c r="J1046" s="24"/>
      <c r="K1046" s="24"/>
      <c r="L1046" s="24"/>
      <c r="M1046" s="24"/>
      <c r="N1046" s="24"/>
      <c r="O1046" s="24"/>
      <c r="P1046" s="24"/>
      <c r="Q1046" s="24"/>
      <c r="R1046" s="24"/>
      <c r="S1046" s="24"/>
      <c r="T1046" s="24"/>
      <c r="U1046" s="24"/>
      <c r="V1046" s="24"/>
      <c r="W1046" s="24"/>
      <c r="X1046" s="24"/>
      <c r="Y1046" s="24"/>
      <c r="Z1046" s="24"/>
      <c r="AA1046" s="24"/>
      <c r="AB1046" s="24"/>
      <c r="AC1046" s="24"/>
      <c r="AD1046" s="24"/>
      <c r="AE1046" s="24"/>
      <c r="AF1046" s="24"/>
      <c r="AG1046" s="24"/>
      <c r="AH1046" s="24"/>
      <c r="AI1046" s="24"/>
      <c r="AJ1046" s="24"/>
      <c r="AK1046" s="24"/>
      <c r="AL1046" s="24"/>
      <c r="AM1046" s="24"/>
      <c r="AN1046" s="24"/>
      <c r="AO1046" s="24"/>
      <c r="AP1046" s="24"/>
      <c r="AQ1046" s="24"/>
      <c r="AR1046" s="24"/>
      <c r="AS1046" s="24"/>
      <c r="AT1046" s="24"/>
      <c r="AU1046" s="24"/>
      <c r="AV1046" s="24"/>
      <c r="AW1046" s="24"/>
      <c r="AX1046" s="24"/>
      <c r="AY1046" s="24"/>
      <c r="AZ1046" s="24"/>
      <c r="BA1046" s="24"/>
      <c r="BB1046" s="24"/>
      <c r="BC1046" s="24"/>
      <c r="BD1046" s="24"/>
      <c r="BE1046" s="24"/>
      <c r="BF1046" s="24"/>
      <c r="BG1046" s="24"/>
      <c r="BH1046" s="24"/>
      <c r="BI1046" s="24"/>
      <c r="BJ1046" s="24"/>
      <c r="BK1046" s="24"/>
      <c r="BL1046" s="24"/>
      <c r="BM1046" s="24"/>
      <c r="BN1046" s="24"/>
      <c r="BO1046" s="24"/>
      <c r="BP1046" s="24"/>
      <c r="BQ1046" s="24"/>
      <c r="BR1046" s="24"/>
      <c r="BS1046" s="24"/>
      <c r="BT1046" s="24"/>
      <c r="BU1046" s="24"/>
      <c r="BV1046" s="24"/>
      <c r="BW1046" s="24"/>
      <c r="BX1046" s="24"/>
      <c r="BY1046" s="24"/>
      <c r="BZ1046" s="24"/>
      <c r="CA1046" s="24"/>
      <c r="CB1046" s="24"/>
      <c r="CC1046" s="24"/>
      <c r="CD1046" s="24"/>
    </row>
    <row r="1047" spans="2:82" ht="16.5" customHeight="1" x14ac:dyDescent="0.3">
      <c r="B1047" s="26"/>
      <c r="C1047" s="26"/>
      <c r="D1047" s="26"/>
      <c r="E1047" s="26"/>
      <c r="F1047" s="26"/>
      <c r="G1047" s="26"/>
      <c r="H1047" s="24"/>
      <c r="I1047" s="27"/>
      <c r="J1047" s="24"/>
      <c r="K1047" s="24"/>
      <c r="L1047" s="24"/>
      <c r="M1047" s="24"/>
      <c r="N1047" s="24"/>
      <c r="O1047" s="24"/>
      <c r="P1047" s="24"/>
      <c r="Q1047" s="24"/>
      <c r="R1047" s="24"/>
      <c r="S1047" s="24"/>
      <c r="T1047" s="24"/>
      <c r="U1047" s="24"/>
      <c r="V1047" s="24"/>
      <c r="W1047" s="24"/>
      <c r="X1047" s="24"/>
      <c r="Y1047" s="24"/>
      <c r="Z1047" s="24"/>
      <c r="AA1047" s="24"/>
      <c r="AB1047" s="24"/>
      <c r="AC1047" s="24"/>
      <c r="AD1047" s="24"/>
      <c r="AE1047" s="24"/>
      <c r="AF1047" s="24"/>
      <c r="AG1047" s="24"/>
      <c r="AH1047" s="24"/>
      <c r="AI1047" s="24"/>
      <c r="AJ1047" s="24"/>
      <c r="AK1047" s="24"/>
      <c r="AL1047" s="24"/>
      <c r="AM1047" s="24"/>
      <c r="AN1047" s="24"/>
      <c r="AO1047" s="24"/>
      <c r="AP1047" s="24"/>
      <c r="AQ1047" s="24"/>
      <c r="AR1047" s="24"/>
      <c r="AS1047" s="24"/>
      <c r="AT1047" s="24"/>
      <c r="AU1047" s="24"/>
      <c r="AV1047" s="24"/>
      <c r="AW1047" s="24"/>
      <c r="AX1047" s="24"/>
      <c r="AY1047" s="24"/>
      <c r="AZ1047" s="24"/>
      <c r="BA1047" s="24"/>
      <c r="BB1047" s="24"/>
      <c r="BC1047" s="24"/>
      <c r="BD1047" s="24"/>
      <c r="BE1047" s="24"/>
      <c r="BF1047" s="24"/>
      <c r="BG1047" s="24"/>
      <c r="BH1047" s="24"/>
      <c r="BI1047" s="24"/>
      <c r="BJ1047" s="24"/>
      <c r="BK1047" s="24"/>
      <c r="BL1047" s="24"/>
      <c r="BM1047" s="24"/>
      <c r="BN1047" s="24"/>
      <c r="BO1047" s="24"/>
      <c r="BP1047" s="24"/>
      <c r="BQ1047" s="24"/>
      <c r="BR1047" s="24"/>
      <c r="BS1047" s="24"/>
      <c r="BT1047" s="24"/>
      <c r="BU1047" s="24"/>
      <c r="BV1047" s="24"/>
      <c r="BW1047" s="24"/>
      <c r="BX1047" s="24"/>
      <c r="BY1047" s="24"/>
      <c r="BZ1047" s="24"/>
      <c r="CA1047" s="24"/>
      <c r="CB1047" s="24"/>
      <c r="CC1047" s="24"/>
      <c r="CD1047" s="24"/>
    </row>
    <row r="1048" spans="2:82" ht="16.5" customHeight="1" x14ac:dyDescent="0.3">
      <c r="B1048" s="26"/>
      <c r="C1048" s="26"/>
      <c r="D1048" s="26"/>
      <c r="E1048" s="26"/>
      <c r="F1048" s="26"/>
      <c r="G1048" s="26"/>
      <c r="H1048" s="24"/>
      <c r="I1048" s="27"/>
      <c r="J1048" s="24"/>
      <c r="K1048" s="24"/>
      <c r="L1048" s="24"/>
      <c r="M1048" s="24"/>
      <c r="N1048" s="24"/>
      <c r="O1048" s="24"/>
      <c r="P1048" s="24"/>
      <c r="Q1048" s="24"/>
      <c r="R1048" s="24"/>
      <c r="S1048" s="24"/>
      <c r="T1048" s="24"/>
      <c r="U1048" s="24"/>
      <c r="V1048" s="24"/>
      <c r="W1048" s="24"/>
      <c r="X1048" s="24"/>
      <c r="Y1048" s="24"/>
      <c r="Z1048" s="24"/>
      <c r="AA1048" s="24"/>
      <c r="AB1048" s="24"/>
      <c r="AC1048" s="24"/>
      <c r="AD1048" s="24"/>
      <c r="AE1048" s="24"/>
      <c r="AF1048" s="24"/>
      <c r="AG1048" s="24"/>
      <c r="AH1048" s="24"/>
      <c r="AI1048" s="24"/>
      <c r="AJ1048" s="24"/>
      <c r="AK1048" s="24"/>
      <c r="AL1048" s="24"/>
      <c r="AM1048" s="24"/>
      <c r="AN1048" s="24"/>
      <c r="AO1048" s="24"/>
      <c r="AP1048" s="24"/>
      <c r="AQ1048" s="24"/>
      <c r="AR1048" s="24"/>
      <c r="AS1048" s="24"/>
      <c r="AT1048" s="24"/>
      <c r="AU1048" s="24"/>
      <c r="AV1048" s="24"/>
      <c r="AW1048" s="24"/>
      <c r="AX1048" s="24"/>
      <c r="AY1048" s="24"/>
      <c r="AZ1048" s="24"/>
      <c r="BA1048" s="24"/>
      <c r="BB1048" s="24"/>
      <c r="BC1048" s="24"/>
      <c r="BD1048" s="24"/>
      <c r="BE1048" s="24"/>
      <c r="BF1048" s="24"/>
      <c r="BG1048" s="24"/>
      <c r="BH1048" s="24"/>
      <c r="BI1048" s="24"/>
      <c r="BJ1048" s="24"/>
      <c r="BK1048" s="24"/>
      <c r="BL1048" s="24"/>
      <c r="BM1048" s="24"/>
      <c r="BN1048" s="24"/>
      <c r="BO1048" s="24"/>
      <c r="BP1048" s="24"/>
      <c r="BQ1048" s="24"/>
      <c r="BR1048" s="24"/>
      <c r="BS1048" s="24"/>
      <c r="BT1048" s="24"/>
      <c r="BU1048" s="24"/>
      <c r="BV1048" s="24"/>
      <c r="BW1048" s="24"/>
      <c r="BX1048" s="24"/>
      <c r="BY1048" s="24"/>
      <c r="BZ1048" s="24"/>
      <c r="CA1048" s="24"/>
      <c r="CB1048" s="24"/>
      <c r="CC1048" s="24"/>
      <c r="CD1048" s="24"/>
    </row>
    <row r="1049" spans="2:82" ht="16.5" customHeight="1" x14ac:dyDescent="0.3">
      <c r="B1049" s="26"/>
      <c r="C1049" s="26"/>
      <c r="D1049" s="26"/>
      <c r="E1049" s="26"/>
      <c r="F1049" s="26"/>
      <c r="G1049" s="26"/>
      <c r="H1049" s="24"/>
      <c r="I1049" s="27"/>
      <c r="J1049" s="24"/>
      <c r="K1049" s="24"/>
      <c r="L1049" s="24"/>
      <c r="M1049" s="24"/>
      <c r="N1049" s="24"/>
      <c r="O1049" s="24"/>
      <c r="P1049" s="24"/>
      <c r="Q1049" s="24"/>
      <c r="R1049" s="24"/>
      <c r="S1049" s="24"/>
      <c r="T1049" s="24"/>
      <c r="U1049" s="24"/>
      <c r="V1049" s="24"/>
      <c r="W1049" s="24"/>
      <c r="X1049" s="24"/>
      <c r="Y1049" s="24"/>
      <c r="Z1049" s="24"/>
      <c r="AA1049" s="24"/>
      <c r="AB1049" s="24"/>
      <c r="AC1049" s="24"/>
      <c r="AD1049" s="24"/>
      <c r="AE1049" s="24"/>
      <c r="AF1049" s="24"/>
      <c r="AG1049" s="24"/>
      <c r="AH1049" s="24"/>
      <c r="AI1049" s="24"/>
      <c r="AJ1049" s="24"/>
      <c r="AK1049" s="24"/>
      <c r="AL1049" s="24"/>
      <c r="AM1049" s="24"/>
      <c r="AN1049" s="24"/>
      <c r="AO1049" s="24"/>
      <c r="AP1049" s="24"/>
      <c r="AQ1049" s="24"/>
      <c r="AR1049" s="24"/>
      <c r="AS1049" s="24"/>
      <c r="AT1049" s="24"/>
      <c r="AU1049" s="24"/>
      <c r="AV1049" s="24"/>
      <c r="AW1049" s="24"/>
      <c r="AX1049" s="24"/>
      <c r="AY1049" s="24"/>
      <c r="AZ1049" s="24"/>
      <c r="BA1049" s="24"/>
      <c r="BB1049" s="24"/>
      <c r="BC1049" s="24"/>
      <c r="BD1049" s="24"/>
      <c r="BE1049" s="24"/>
      <c r="BF1049" s="24"/>
      <c r="BG1049" s="24"/>
      <c r="BH1049" s="24"/>
      <c r="BI1049" s="24"/>
      <c r="BJ1049" s="24"/>
      <c r="BK1049" s="24"/>
      <c r="BL1049" s="24"/>
      <c r="BM1049" s="24"/>
      <c r="BN1049" s="24"/>
      <c r="BO1049" s="24"/>
      <c r="BP1049" s="24"/>
      <c r="BQ1049" s="24"/>
      <c r="BR1049" s="24"/>
      <c r="BS1049" s="24"/>
      <c r="BT1049" s="24"/>
      <c r="BU1049" s="24"/>
      <c r="BV1049" s="24"/>
      <c r="BW1049" s="24"/>
      <c r="BX1049" s="24"/>
      <c r="BY1049" s="24"/>
      <c r="BZ1049" s="24"/>
      <c r="CA1049" s="24"/>
      <c r="CB1049" s="24"/>
      <c r="CC1049" s="24"/>
      <c r="CD1049" s="24"/>
    </row>
    <row r="1050" spans="2:82" ht="16.5" customHeight="1" x14ac:dyDescent="0.3">
      <c r="B1050" s="26"/>
      <c r="C1050" s="26"/>
      <c r="D1050" s="26"/>
      <c r="E1050" s="26"/>
      <c r="F1050" s="26"/>
      <c r="G1050" s="26"/>
      <c r="H1050" s="24"/>
      <c r="I1050" s="27"/>
      <c r="J1050" s="24"/>
      <c r="K1050" s="24"/>
      <c r="L1050" s="24"/>
      <c r="M1050" s="24"/>
      <c r="N1050" s="24"/>
      <c r="O1050" s="24"/>
      <c r="P1050" s="24"/>
      <c r="Q1050" s="24"/>
      <c r="R1050" s="24"/>
      <c r="S1050" s="24"/>
      <c r="T1050" s="24"/>
      <c r="U1050" s="24"/>
      <c r="V1050" s="24"/>
      <c r="W1050" s="24"/>
      <c r="X1050" s="24"/>
      <c r="Y1050" s="24"/>
      <c r="Z1050" s="24"/>
      <c r="AA1050" s="24"/>
      <c r="AB1050" s="24"/>
      <c r="AC1050" s="24"/>
      <c r="AD1050" s="24"/>
      <c r="AE1050" s="24"/>
      <c r="AF1050" s="24"/>
      <c r="AG1050" s="24"/>
      <c r="AH1050" s="24"/>
      <c r="AI1050" s="24"/>
      <c r="AJ1050" s="24"/>
      <c r="AK1050" s="24"/>
      <c r="AL1050" s="24"/>
      <c r="AM1050" s="24"/>
      <c r="AN1050" s="24"/>
      <c r="AO1050" s="24"/>
      <c r="AP1050" s="24"/>
      <c r="AQ1050" s="24"/>
      <c r="AR1050" s="24"/>
      <c r="AS1050" s="24"/>
      <c r="AT1050" s="24"/>
      <c r="AU1050" s="24"/>
      <c r="AV1050" s="24"/>
      <c r="AW1050" s="24"/>
      <c r="AX1050" s="24"/>
      <c r="AY1050" s="24"/>
      <c r="AZ1050" s="24"/>
      <c r="BA1050" s="24"/>
      <c r="BB1050" s="24"/>
      <c r="BC1050" s="24"/>
      <c r="BD1050" s="24"/>
      <c r="BE1050" s="24"/>
      <c r="BF1050" s="24"/>
      <c r="BG1050" s="24"/>
      <c r="BH1050" s="24"/>
      <c r="BI1050" s="24"/>
      <c r="BJ1050" s="24"/>
      <c r="BK1050" s="24"/>
      <c r="BL1050" s="24"/>
      <c r="BM1050" s="24"/>
      <c r="BN1050" s="24"/>
      <c r="BO1050" s="24"/>
      <c r="BP1050" s="24"/>
      <c r="BQ1050" s="24"/>
      <c r="BR1050" s="24"/>
      <c r="BS1050" s="24"/>
      <c r="BT1050" s="24"/>
      <c r="BU1050" s="24"/>
      <c r="BV1050" s="24"/>
      <c r="BW1050" s="24"/>
      <c r="BX1050" s="24"/>
      <c r="BY1050" s="24"/>
      <c r="BZ1050" s="24"/>
      <c r="CA1050" s="24"/>
      <c r="CB1050" s="24"/>
      <c r="CC1050" s="24"/>
      <c r="CD1050" s="24"/>
    </row>
  </sheetData>
  <mergeCells count="699">
    <mergeCell ref="L19:L20"/>
    <mergeCell ref="E12:E13"/>
    <mergeCell ref="K12:K13"/>
    <mergeCell ref="D12:D13"/>
    <mergeCell ref="F12:F13"/>
    <mergeCell ref="A117:A119"/>
    <mergeCell ref="A58:A59"/>
    <mergeCell ref="A60:A63"/>
    <mergeCell ref="A64:A68"/>
    <mergeCell ref="A69:A70"/>
    <mergeCell ref="A71:A72"/>
    <mergeCell ref="A75:A77"/>
    <mergeCell ref="A12:A13"/>
    <mergeCell ref="A15:A17"/>
    <mergeCell ref="A79:A81"/>
    <mergeCell ref="A84:A85"/>
    <mergeCell ref="A86:A88"/>
    <mergeCell ref="A89:A91"/>
    <mergeCell ref="A92:A97"/>
    <mergeCell ref="A98:A99"/>
    <mergeCell ref="J12:J13"/>
    <mergeCell ref="J15:J17"/>
    <mergeCell ref="E15:E17"/>
    <mergeCell ref="M19:M20"/>
    <mergeCell ref="L21:L22"/>
    <mergeCell ref="G25:G26"/>
    <mergeCell ref="H25:H26"/>
    <mergeCell ref="D21:D22"/>
    <mergeCell ref="E21:E22"/>
    <mergeCell ref="G12:G13"/>
    <mergeCell ref="H12:H13"/>
    <mergeCell ref="I12:I13"/>
    <mergeCell ref="I25:I26"/>
    <mergeCell ref="K25:K26"/>
    <mergeCell ref="J25:J26"/>
    <mergeCell ref="F15:F17"/>
    <mergeCell ref="G15:G17"/>
    <mergeCell ref="H15:H17"/>
    <mergeCell ref="I15:I17"/>
    <mergeCell ref="K15:K17"/>
    <mergeCell ref="D15:D17"/>
    <mergeCell ref="J21:J22"/>
    <mergeCell ref="D25:D26"/>
    <mergeCell ref="E19:E20"/>
    <mergeCell ref="E25:E26"/>
    <mergeCell ref="L15:L17"/>
    <mergeCell ref="M15:M17"/>
    <mergeCell ref="B1:BJ2"/>
    <mergeCell ref="B4:C4"/>
    <mergeCell ref="AL4:AQ4"/>
    <mergeCell ref="B5:C5"/>
    <mergeCell ref="BI8:BI9"/>
    <mergeCell ref="BJ8:BJ9"/>
    <mergeCell ref="B6:C6"/>
    <mergeCell ref="B7:K7"/>
    <mergeCell ref="L7:AK7"/>
    <mergeCell ref="AL7:AW7"/>
    <mergeCell ref="AX7:BD7"/>
    <mergeCell ref="BE7:BJ7"/>
    <mergeCell ref="B8:B9"/>
    <mergeCell ref="AP8:AP9"/>
    <mergeCell ref="AQ8:AQ9"/>
    <mergeCell ref="AR8:AW8"/>
    <mergeCell ref="AX8:AX9"/>
    <mergeCell ref="AY8:AY9"/>
    <mergeCell ref="D4:AK4"/>
    <mergeCell ref="D5:AK5"/>
    <mergeCell ref="BC8:BC9"/>
    <mergeCell ref="BD8:BD9"/>
    <mergeCell ref="BE8:BE9"/>
    <mergeCell ref="BF8:BF9"/>
    <mergeCell ref="N10:N11"/>
    <mergeCell ref="O10:O11"/>
    <mergeCell ref="AI10:AI11"/>
    <mergeCell ref="N8:N9"/>
    <mergeCell ref="O8:O9"/>
    <mergeCell ref="AI8:AI9"/>
    <mergeCell ref="L10:L11"/>
    <mergeCell ref="D6:AK6"/>
    <mergeCell ref="J8:J9"/>
    <mergeCell ref="J10:J11"/>
    <mergeCell ref="AJ10:AJ11"/>
    <mergeCell ref="AK10:AK11"/>
    <mergeCell ref="I10:I11"/>
    <mergeCell ref="K10:K11"/>
    <mergeCell ref="M10:M11"/>
    <mergeCell ref="E10:E11"/>
    <mergeCell ref="K8:K9"/>
    <mergeCell ref="N21:N22"/>
    <mergeCell ref="O21:O22"/>
    <mergeCell ref="AI12:AI13"/>
    <mergeCell ref="AJ12:AJ13"/>
    <mergeCell ref="AK12:AK13"/>
    <mergeCell ref="AI15:AI17"/>
    <mergeCell ref="AJ15:AJ17"/>
    <mergeCell ref="AK15:AK17"/>
    <mergeCell ref="AI19:AI20"/>
    <mergeCell ref="AJ19:AJ20"/>
    <mergeCell ref="AK19:AK20"/>
    <mergeCell ref="N15:N17"/>
    <mergeCell ref="O15:O17"/>
    <mergeCell ref="N19:N20"/>
    <mergeCell ref="O19:O20"/>
    <mergeCell ref="N12:N13"/>
    <mergeCell ref="O12:O13"/>
    <mergeCell ref="BG8:BG9"/>
    <mergeCell ref="BH8:BH9"/>
    <mergeCell ref="AJ8:AJ9"/>
    <mergeCell ref="AK8:AK9"/>
    <mergeCell ref="AL8:AL9"/>
    <mergeCell ref="P8:AH8"/>
    <mergeCell ref="AM8:AO8"/>
    <mergeCell ref="L8:L9"/>
    <mergeCell ref="M8:M9"/>
    <mergeCell ref="BA8:BA9"/>
    <mergeCell ref="BB8:BB9"/>
    <mergeCell ref="AZ8:AZ9"/>
    <mergeCell ref="B10:B11"/>
    <mergeCell ref="C10:C11"/>
    <mergeCell ref="F10:F11"/>
    <mergeCell ref="G10:G11"/>
    <mergeCell ref="H10:H11"/>
    <mergeCell ref="G8:G9"/>
    <mergeCell ref="H8:H9"/>
    <mergeCell ref="I8:I9"/>
    <mergeCell ref="C8:C9"/>
    <mergeCell ref="F8:F9"/>
    <mergeCell ref="E8:E9"/>
    <mergeCell ref="A8:A9"/>
    <mergeCell ref="A10:A11"/>
    <mergeCell ref="AI21:AI22"/>
    <mergeCell ref="AJ21:AJ22"/>
    <mergeCell ref="AK21:AK22"/>
    <mergeCell ref="A19:A20"/>
    <mergeCell ref="A21:A22"/>
    <mergeCell ref="L12:L13"/>
    <mergeCell ref="M12:M13"/>
    <mergeCell ref="D8:D9"/>
    <mergeCell ref="D10:D11"/>
    <mergeCell ref="B15:B17"/>
    <mergeCell ref="C15:C17"/>
    <mergeCell ref="B12:B13"/>
    <mergeCell ref="C12:C13"/>
    <mergeCell ref="B19:B20"/>
    <mergeCell ref="C19:C20"/>
    <mergeCell ref="F19:F20"/>
    <mergeCell ref="G19:G20"/>
    <mergeCell ref="H19:H20"/>
    <mergeCell ref="I19:I20"/>
    <mergeCell ref="K19:K20"/>
    <mergeCell ref="D19:D20"/>
    <mergeCell ref="J19:J20"/>
    <mergeCell ref="C120:BJ120"/>
    <mergeCell ref="B21:B22"/>
    <mergeCell ref="C21:C22"/>
    <mergeCell ref="F21:F22"/>
    <mergeCell ref="G21:G22"/>
    <mergeCell ref="H21:H22"/>
    <mergeCell ref="I21:I22"/>
    <mergeCell ref="K21:K22"/>
    <mergeCell ref="L25:L26"/>
    <mergeCell ref="M25:M26"/>
    <mergeCell ref="N25:N26"/>
    <mergeCell ref="O25:O26"/>
    <mergeCell ref="AI25:AI26"/>
    <mergeCell ref="AJ25:AJ26"/>
    <mergeCell ref="AK25:AK26"/>
    <mergeCell ref="B25:B26"/>
    <mergeCell ref="C25:C26"/>
    <mergeCell ref="F25:F26"/>
    <mergeCell ref="B27:B28"/>
    <mergeCell ref="C27:C28"/>
    <mergeCell ref="D27:D28"/>
    <mergeCell ref="E27:E28"/>
    <mergeCell ref="F27:F28"/>
    <mergeCell ref="M21:M22"/>
    <mergeCell ref="AI27:AI28"/>
    <mergeCell ref="AJ27:AJ28"/>
    <mergeCell ref="AK27:AK28"/>
    <mergeCell ref="G27:G28"/>
    <mergeCell ref="H27:H28"/>
    <mergeCell ref="I27:I28"/>
    <mergeCell ref="J27:J28"/>
    <mergeCell ref="K27:K28"/>
    <mergeCell ref="L27:L28"/>
    <mergeCell ref="M27:M28"/>
    <mergeCell ref="N27:N28"/>
    <mergeCell ref="O27:O28"/>
    <mergeCell ref="B30:B31"/>
    <mergeCell ref="C30:C31"/>
    <mergeCell ref="D30:D31"/>
    <mergeCell ref="E30:E31"/>
    <mergeCell ref="F30:F31"/>
    <mergeCell ref="G30:G31"/>
    <mergeCell ref="H30:H31"/>
    <mergeCell ref="I30:I31"/>
    <mergeCell ref="J30:J31"/>
    <mergeCell ref="K30:K31"/>
    <mergeCell ref="L30:L31"/>
    <mergeCell ref="M30:M31"/>
    <mergeCell ref="N30:N31"/>
    <mergeCell ref="O30:O31"/>
    <mergeCell ref="AI30:AI31"/>
    <mergeCell ref="AJ30:AJ31"/>
    <mergeCell ref="AK30:AK31"/>
    <mergeCell ref="B32:B35"/>
    <mergeCell ref="C32:C35"/>
    <mergeCell ref="D32:D35"/>
    <mergeCell ref="E32:E35"/>
    <mergeCell ref="F32:F35"/>
    <mergeCell ref="G32:G35"/>
    <mergeCell ref="H32:H35"/>
    <mergeCell ref="I32:I35"/>
    <mergeCell ref="J32:J35"/>
    <mergeCell ref="K32:K35"/>
    <mergeCell ref="L32:L35"/>
    <mergeCell ref="M32:M35"/>
    <mergeCell ref="N32:N35"/>
    <mergeCell ref="O32:O35"/>
    <mergeCell ref="AI32:AI35"/>
    <mergeCell ref="AJ32:AJ35"/>
    <mergeCell ref="AK32:AK35"/>
    <mergeCell ref="B36:B38"/>
    <mergeCell ref="C36:C38"/>
    <mergeCell ref="D36:D38"/>
    <mergeCell ref="E36:E38"/>
    <mergeCell ref="F36:F38"/>
    <mergeCell ref="G36:G38"/>
    <mergeCell ref="H36:H38"/>
    <mergeCell ref="I36:I38"/>
    <mergeCell ref="J36:J38"/>
    <mergeCell ref="K36:K38"/>
    <mergeCell ref="L36:L38"/>
    <mergeCell ref="M36:M38"/>
    <mergeCell ref="N36:N38"/>
    <mergeCell ref="O36:O38"/>
    <mergeCell ref="AI36:AI38"/>
    <mergeCell ref="AJ36:AJ38"/>
    <mergeCell ref="AK36:AK38"/>
    <mergeCell ref="L41:L42"/>
    <mergeCell ref="M41:M42"/>
    <mergeCell ref="N41:N42"/>
    <mergeCell ref="O41:O42"/>
    <mergeCell ref="AI41:AI42"/>
    <mergeCell ref="AJ41:AJ42"/>
    <mergeCell ref="B39:B40"/>
    <mergeCell ref="C39:C40"/>
    <mergeCell ref="D39:D40"/>
    <mergeCell ref="E39:E40"/>
    <mergeCell ref="F39:F40"/>
    <mergeCell ref="G39:G40"/>
    <mergeCell ref="H39:H40"/>
    <mergeCell ref="I39:I40"/>
    <mergeCell ref="J39:J40"/>
    <mergeCell ref="AK41:AK42"/>
    <mergeCell ref="A25:A26"/>
    <mergeCell ref="A27:A28"/>
    <mergeCell ref="A30:A31"/>
    <mergeCell ref="A32:A35"/>
    <mergeCell ref="A36:A38"/>
    <mergeCell ref="K39:K40"/>
    <mergeCell ref="L39:L40"/>
    <mergeCell ref="M39:M40"/>
    <mergeCell ref="N39:N40"/>
    <mergeCell ref="O39:O40"/>
    <mergeCell ref="AI39:AI40"/>
    <mergeCell ref="AJ39:AJ40"/>
    <mergeCell ref="AK39:AK40"/>
    <mergeCell ref="B41:B42"/>
    <mergeCell ref="C41:C42"/>
    <mergeCell ref="D41:D42"/>
    <mergeCell ref="E41:E42"/>
    <mergeCell ref="F41:F42"/>
    <mergeCell ref="G41:G42"/>
    <mergeCell ref="H41:H42"/>
    <mergeCell ref="I41:I42"/>
    <mergeCell ref="J41:J42"/>
    <mergeCell ref="K41:K42"/>
    <mergeCell ref="B43:B45"/>
    <mergeCell ref="C43:C45"/>
    <mergeCell ref="D43:D45"/>
    <mergeCell ref="E43:E45"/>
    <mergeCell ref="F43:F45"/>
    <mergeCell ref="G43:G45"/>
    <mergeCell ref="H43:H45"/>
    <mergeCell ref="I43:I45"/>
    <mergeCell ref="J43:J45"/>
    <mergeCell ref="K43:K45"/>
    <mergeCell ref="L43:L45"/>
    <mergeCell ref="M43:M45"/>
    <mergeCell ref="N43:N45"/>
    <mergeCell ref="O43:O45"/>
    <mergeCell ref="AI43:AI45"/>
    <mergeCell ref="AJ43:AJ45"/>
    <mergeCell ref="AK43:AK45"/>
    <mergeCell ref="B46:B48"/>
    <mergeCell ref="C46:C48"/>
    <mergeCell ref="D46:D48"/>
    <mergeCell ref="E46:E48"/>
    <mergeCell ref="F46:F48"/>
    <mergeCell ref="G46:G48"/>
    <mergeCell ref="H46:H48"/>
    <mergeCell ref="I46:I48"/>
    <mergeCell ref="J46:J48"/>
    <mergeCell ref="K46:K48"/>
    <mergeCell ref="L46:L48"/>
    <mergeCell ref="M46:M48"/>
    <mergeCell ref="N46:N48"/>
    <mergeCell ref="O46:O48"/>
    <mergeCell ref="AI46:AI48"/>
    <mergeCell ref="AJ46:AJ48"/>
    <mergeCell ref="AK46:AK48"/>
    <mergeCell ref="B49:B52"/>
    <mergeCell ref="C49:C52"/>
    <mergeCell ref="D49:D52"/>
    <mergeCell ref="E49:E52"/>
    <mergeCell ref="F49:F52"/>
    <mergeCell ref="G49:G52"/>
    <mergeCell ref="H49:H52"/>
    <mergeCell ref="I49:I52"/>
    <mergeCell ref="J49:J52"/>
    <mergeCell ref="K49:K52"/>
    <mergeCell ref="L49:L52"/>
    <mergeCell ref="M49:M52"/>
    <mergeCell ref="N49:N52"/>
    <mergeCell ref="O49:O52"/>
    <mergeCell ref="AI49:AI52"/>
    <mergeCell ref="AJ49:AJ52"/>
    <mergeCell ref="AK49:AK52"/>
    <mergeCell ref="B53:B54"/>
    <mergeCell ref="C53:C54"/>
    <mergeCell ref="D53:D54"/>
    <mergeCell ref="E53:E54"/>
    <mergeCell ref="F53:F54"/>
    <mergeCell ref="G53:G54"/>
    <mergeCell ref="H53:H54"/>
    <mergeCell ref="I53:I54"/>
    <mergeCell ref="J53:J54"/>
    <mergeCell ref="K53:K54"/>
    <mergeCell ref="L53:L54"/>
    <mergeCell ref="M53:M54"/>
    <mergeCell ref="N53:N54"/>
    <mergeCell ref="O53:O54"/>
    <mergeCell ref="AI53:AI54"/>
    <mergeCell ref="AJ53:AJ54"/>
    <mergeCell ref="AK53:AK54"/>
    <mergeCell ref="B55:B57"/>
    <mergeCell ref="C55:C57"/>
    <mergeCell ref="D55:D57"/>
    <mergeCell ref="E55:E57"/>
    <mergeCell ref="F55:F57"/>
    <mergeCell ref="G55:G57"/>
    <mergeCell ref="H55:H57"/>
    <mergeCell ref="I55:I57"/>
    <mergeCell ref="J55:J57"/>
    <mergeCell ref="K55:K57"/>
    <mergeCell ref="L55:L57"/>
    <mergeCell ref="M55:M57"/>
    <mergeCell ref="N55:N57"/>
    <mergeCell ref="O55:O57"/>
    <mergeCell ref="AI55:AI57"/>
    <mergeCell ref="AJ55:AJ57"/>
    <mergeCell ref="AK55:AK57"/>
    <mergeCell ref="B58:B59"/>
    <mergeCell ref="C58:C59"/>
    <mergeCell ref="D58:D59"/>
    <mergeCell ref="E58:E59"/>
    <mergeCell ref="F58:F59"/>
    <mergeCell ref="G58:G59"/>
    <mergeCell ref="H58:H59"/>
    <mergeCell ref="I58:I59"/>
    <mergeCell ref="J58:J59"/>
    <mergeCell ref="K58:K59"/>
    <mergeCell ref="L58:L59"/>
    <mergeCell ref="M58:M59"/>
    <mergeCell ref="N58:N59"/>
    <mergeCell ref="O58:O59"/>
    <mergeCell ref="AI58:AI59"/>
    <mergeCell ref="AJ58:AJ59"/>
    <mergeCell ref="AK58:AK59"/>
    <mergeCell ref="K60:K63"/>
    <mergeCell ref="L60:L63"/>
    <mergeCell ref="M60:M63"/>
    <mergeCell ref="N60:N63"/>
    <mergeCell ref="O60:O63"/>
    <mergeCell ref="AI60:AI63"/>
    <mergeCell ref="AJ60:AJ63"/>
    <mergeCell ref="AK60:AK63"/>
    <mergeCell ref="A39:A40"/>
    <mergeCell ref="A41:A42"/>
    <mergeCell ref="A43:A45"/>
    <mergeCell ref="A46:A48"/>
    <mergeCell ref="A49:A52"/>
    <mergeCell ref="A53:A54"/>
    <mergeCell ref="A55:A57"/>
    <mergeCell ref="B60:B63"/>
    <mergeCell ref="C60:C63"/>
    <mergeCell ref="D60:D63"/>
    <mergeCell ref="E60:E63"/>
    <mergeCell ref="F60:F63"/>
    <mergeCell ref="G60:G63"/>
    <mergeCell ref="H60:H63"/>
    <mergeCell ref="I60:I63"/>
    <mergeCell ref="J60:J63"/>
    <mergeCell ref="B64:B68"/>
    <mergeCell ref="C64:C68"/>
    <mergeCell ref="D64:D68"/>
    <mergeCell ref="E64:E68"/>
    <mergeCell ref="F64:F68"/>
    <mergeCell ref="G64:G68"/>
    <mergeCell ref="H64:H68"/>
    <mergeCell ref="I64:I68"/>
    <mergeCell ref="J64:J68"/>
    <mergeCell ref="K64:K68"/>
    <mergeCell ref="L64:L68"/>
    <mergeCell ref="M64:M68"/>
    <mergeCell ref="N64:N68"/>
    <mergeCell ref="O64:O68"/>
    <mergeCell ref="AI64:AI68"/>
    <mergeCell ref="AJ64:AJ68"/>
    <mergeCell ref="AK64:AK68"/>
    <mergeCell ref="B69:B70"/>
    <mergeCell ref="C69:C70"/>
    <mergeCell ref="D69:D70"/>
    <mergeCell ref="E69:E70"/>
    <mergeCell ref="F69:F70"/>
    <mergeCell ref="G69:G70"/>
    <mergeCell ref="H69:H70"/>
    <mergeCell ref="I69:I70"/>
    <mergeCell ref="J69:J70"/>
    <mergeCell ref="K69:K70"/>
    <mergeCell ref="L69:L70"/>
    <mergeCell ref="M69:M70"/>
    <mergeCell ref="N69:N70"/>
    <mergeCell ref="O69:O70"/>
    <mergeCell ref="AI69:AI70"/>
    <mergeCell ref="AJ69:AJ70"/>
    <mergeCell ref="AK69:AK70"/>
    <mergeCell ref="B71:B72"/>
    <mergeCell ref="C71:C72"/>
    <mergeCell ref="D71:D72"/>
    <mergeCell ref="E71:E72"/>
    <mergeCell ref="F71:F72"/>
    <mergeCell ref="G71:G72"/>
    <mergeCell ref="H71:H72"/>
    <mergeCell ref="I71:I72"/>
    <mergeCell ref="J71:J72"/>
    <mergeCell ref="K71:K72"/>
    <mergeCell ref="L71:L72"/>
    <mergeCell ref="M71:M72"/>
    <mergeCell ref="N71:N72"/>
    <mergeCell ref="O71:O72"/>
    <mergeCell ref="AI71:AI72"/>
    <mergeCell ref="AJ71:AJ72"/>
    <mergeCell ref="AK71:AK72"/>
    <mergeCell ref="B75:B77"/>
    <mergeCell ref="C75:C77"/>
    <mergeCell ref="D75:D77"/>
    <mergeCell ref="E75:E77"/>
    <mergeCell ref="F75:F77"/>
    <mergeCell ref="G75:G77"/>
    <mergeCell ref="H75:H77"/>
    <mergeCell ref="I75:I77"/>
    <mergeCell ref="J75:J77"/>
    <mergeCell ref="AK84:AK85"/>
    <mergeCell ref="B79:B81"/>
    <mergeCell ref="C79:C81"/>
    <mergeCell ref="D79:D81"/>
    <mergeCell ref="E79:E81"/>
    <mergeCell ref="F79:F81"/>
    <mergeCell ref="G79:G81"/>
    <mergeCell ref="H79:H81"/>
    <mergeCell ref="I79:I81"/>
    <mergeCell ref="J79:J81"/>
    <mergeCell ref="AK79:AK81"/>
    <mergeCell ref="I84:I85"/>
    <mergeCell ref="J84:J85"/>
    <mergeCell ref="K84:K85"/>
    <mergeCell ref="L84:L85"/>
    <mergeCell ref="M84:M85"/>
    <mergeCell ref="N84:N85"/>
    <mergeCell ref="O84:O85"/>
    <mergeCell ref="AI84:AI85"/>
    <mergeCell ref="AJ84:AJ85"/>
    <mergeCell ref="K75:K77"/>
    <mergeCell ref="L75:L77"/>
    <mergeCell ref="M75:M77"/>
    <mergeCell ref="N75:N77"/>
    <mergeCell ref="O75:O77"/>
    <mergeCell ref="AI75:AI77"/>
    <mergeCell ref="AJ75:AJ77"/>
    <mergeCell ref="AK75:AK77"/>
    <mergeCell ref="K79:K81"/>
    <mergeCell ref="L79:L81"/>
    <mergeCell ref="M79:M81"/>
    <mergeCell ref="N79:N81"/>
    <mergeCell ref="O79:O81"/>
    <mergeCell ref="AI79:AI81"/>
    <mergeCell ref="AJ79:AJ81"/>
    <mergeCell ref="K86:K88"/>
    <mergeCell ref="L86:L88"/>
    <mergeCell ref="M86:M88"/>
    <mergeCell ref="N86:N88"/>
    <mergeCell ref="O86:O88"/>
    <mergeCell ref="AI86:AI88"/>
    <mergeCell ref="AJ86:AJ88"/>
    <mergeCell ref="AK86:AK88"/>
    <mergeCell ref="B84:B85"/>
    <mergeCell ref="C84:C85"/>
    <mergeCell ref="D84:D85"/>
    <mergeCell ref="E84:E85"/>
    <mergeCell ref="F84:F85"/>
    <mergeCell ref="G84:G85"/>
    <mergeCell ref="B86:B88"/>
    <mergeCell ref="C86:C88"/>
    <mergeCell ref="D86:D88"/>
    <mergeCell ref="E86:E88"/>
    <mergeCell ref="F86:F88"/>
    <mergeCell ref="G86:G88"/>
    <mergeCell ref="H86:H88"/>
    <mergeCell ref="I86:I88"/>
    <mergeCell ref="J86:J88"/>
    <mergeCell ref="H84:H85"/>
    <mergeCell ref="B89:B91"/>
    <mergeCell ref="C89:C91"/>
    <mergeCell ref="D89:D91"/>
    <mergeCell ref="E89:E91"/>
    <mergeCell ref="F89:F91"/>
    <mergeCell ref="G89:G91"/>
    <mergeCell ref="H89:H91"/>
    <mergeCell ref="I89:I91"/>
    <mergeCell ref="J89:J91"/>
    <mergeCell ref="H92:H97"/>
    <mergeCell ref="I92:I97"/>
    <mergeCell ref="J92:J97"/>
    <mergeCell ref="K92:K97"/>
    <mergeCell ref="L92:L97"/>
    <mergeCell ref="M92:M97"/>
    <mergeCell ref="N92:N97"/>
    <mergeCell ref="O92:O97"/>
    <mergeCell ref="AI92:AI97"/>
    <mergeCell ref="AK100:AK102"/>
    <mergeCell ref="K89:K91"/>
    <mergeCell ref="L89:L91"/>
    <mergeCell ref="M89:M91"/>
    <mergeCell ref="N89:N91"/>
    <mergeCell ref="O89:O91"/>
    <mergeCell ref="AI89:AI91"/>
    <mergeCell ref="AJ89:AJ91"/>
    <mergeCell ref="AK89:AK91"/>
    <mergeCell ref="AJ92:AJ97"/>
    <mergeCell ref="AK92:AK97"/>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AI98:AI99"/>
    <mergeCell ref="AJ98:AJ99"/>
    <mergeCell ref="AK98:AK99"/>
    <mergeCell ref="B92:B97"/>
    <mergeCell ref="C92:C97"/>
    <mergeCell ref="D92:D97"/>
    <mergeCell ref="E92:E97"/>
    <mergeCell ref="F92:F97"/>
    <mergeCell ref="G92:G97"/>
    <mergeCell ref="O103:O106"/>
    <mergeCell ref="AI103:AI106"/>
    <mergeCell ref="AJ103:AJ106"/>
    <mergeCell ref="B100:B102"/>
    <mergeCell ref="C100:C102"/>
    <mergeCell ref="D100:D102"/>
    <mergeCell ref="B103:B106"/>
    <mergeCell ref="C103:C106"/>
    <mergeCell ref="D103:D106"/>
    <mergeCell ref="E103:E106"/>
    <mergeCell ref="F103:F106"/>
    <mergeCell ref="G103:G106"/>
    <mergeCell ref="H103:H106"/>
    <mergeCell ref="I103:I106"/>
    <mergeCell ref="J103:J106"/>
    <mergeCell ref="J100:J102"/>
    <mergeCell ref="N100:N102"/>
    <mergeCell ref="O100:O102"/>
    <mergeCell ref="AI100:AI102"/>
    <mergeCell ref="AJ100:AJ102"/>
    <mergeCell ref="AK103:AK106"/>
    <mergeCell ref="H100:H102"/>
    <mergeCell ref="I100:I102"/>
    <mergeCell ref="B107:B109"/>
    <mergeCell ref="C107:C109"/>
    <mergeCell ref="D107:D109"/>
    <mergeCell ref="E107:E109"/>
    <mergeCell ref="F107:F109"/>
    <mergeCell ref="G107:G109"/>
    <mergeCell ref="H107:H109"/>
    <mergeCell ref="I107:I109"/>
    <mergeCell ref="J107:J109"/>
    <mergeCell ref="K107:K109"/>
    <mergeCell ref="L107:L109"/>
    <mergeCell ref="M107:M109"/>
    <mergeCell ref="N107:N109"/>
    <mergeCell ref="O107:O109"/>
    <mergeCell ref="AI107:AI109"/>
    <mergeCell ref="AJ107:AJ109"/>
    <mergeCell ref="AK107:AK109"/>
    <mergeCell ref="K103:K106"/>
    <mergeCell ref="L103:L106"/>
    <mergeCell ref="M103:M106"/>
    <mergeCell ref="N103:N106"/>
    <mergeCell ref="N110:N111"/>
    <mergeCell ref="O110:O111"/>
    <mergeCell ref="AI110:AI111"/>
    <mergeCell ref="AJ110:AJ111"/>
    <mergeCell ref="AK110:AK111"/>
    <mergeCell ref="M112:M113"/>
    <mergeCell ref="N112:N113"/>
    <mergeCell ref="O112:O113"/>
    <mergeCell ref="AI112:AI113"/>
    <mergeCell ref="AJ112:AJ113"/>
    <mergeCell ref="AK112:AK113"/>
    <mergeCell ref="B110:B111"/>
    <mergeCell ref="C110:C111"/>
    <mergeCell ref="D110:D111"/>
    <mergeCell ref="B112:B113"/>
    <mergeCell ref="C112:C113"/>
    <mergeCell ref="D112:D113"/>
    <mergeCell ref="E112:E113"/>
    <mergeCell ref="F112:F113"/>
    <mergeCell ref="G112:G113"/>
    <mergeCell ref="B114:B116"/>
    <mergeCell ref="C114:C116"/>
    <mergeCell ref="D114:D116"/>
    <mergeCell ref="E114:E116"/>
    <mergeCell ref="F114:F116"/>
    <mergeCell ref="G114:G116"/>
    <mergeCell ref="H114:H116"/>
    <mergeCell ref="I114:I116"/>
    <mergeCell ref="J114:J116"/>
    <mergeCell ref="K114:K116"/>
    <mergeCell ref="L114:L116"/>
    <mergeCell ref="M114:M116"/>
    <mergeCell ref="N114:N116"/>
    <mergeCell ref="O114:O116"/>
    <mergeCell ref="AI114:AI116"/>
    <mergeCell ref="AJ114:AJ116"/>
    <mergeCell ref="AK114:AK116"/>
    <mergeCell ref="H112:H113"/>
    <mergeCell ref="I112:I113"/>
    <mergeCell ref="J112:J113"/>
    <mergeCell ref="K112:K113"/>
    <mergeCell ref="L112:L113"/>
    <mergeCell ref="N117:N119"/>
    <mergeCell ref="O117:O119"/>
    <mergeCell ref="AI117:AI119"/>
    <mergeCell ref="AJ117:AJ119"/>
    <mergeCell ref="AK117:AK119"/>
    <mergeCell ref="B117:B119"/>
    <mergeCell ref="C117:C119"/>
    <mergeCell ref="D117:D119"/>
    <mergeCell ref="E117:E119"/>
    <mergeCell ref="F117:F119"/>
    <mergeCell ref="G117:G119"/>
    <mergeCell ref="H117:H119"/>
    <mergeCell ref="I117:I119"/>
    <mergeCell ref="J117:J119"/>
    <mergeCell ref="A100:A102"/>
    <mergeCell ref="A103:A106"/>
    <mergeCell ref="A107:A109"/>
    <mergeCell ref="A110:A111"/>
    <mergeCell ref="A112:A113"/>
    <mergeCell ref="A114:A116"/>
    <mergeCell ref="K117:K119"/>
    <mergeCell ref="L117:L119"/>
    <mergeCell ref="M117:M119"/>
    <mergeCell ref="E110:E111"/>
    <mergeCell ref="F110:F111"/>
    <mergeCell ref="G110:G111"/>
    <mergeCell ref="H110:H111"/>
    <mergeCell ref="I110:I111"/>
    <mergeCell ref="J110:J111"/>
    <mergeCell ref="K110:K111"/>
    <mergeCell ref="L110:L111"/>
    <mergeCell ref="M110:M111"/>
    <mergeCell ref="K100:K102"/>
    <mergeCell ref="L100:L102"/>
    <mergeCell ref="M100:M102"/>
    <mergeCell ref="E100:E102"/>
    <mergeCell ref="F100:F102"/>
    <mergeCell ref="G100:G102"/>
  </mergeCells>
  <phoneticPr fontId="52" type="noConversion"/>
  <conditionalFormatting sqref="L10 AY10:AY119 L12 L14:L15 L18:L19 L21 L23:L25 L27 L29:L30 L32 L36 L39 L41 L43 L46 L49 L53 L55 L58 L60 L64 L69 L71 L73:L75 L78:L79 L82:L84 L86 L89 L92 L98 L100 L103 L107 L110 L112 L114 L117">
    <cfRule type="cellIs" dxfId="155" priority="158" operator="equal">
      <formula>"Alta"</formula>
    </cfRule>
    <cfRule type="cellIs" dxfId="154" priority="157" operator="equal">
      <formula>"Muy Alta"</formula>
    </cfRule>
    <cfRule type="cellIs" dxfId="153" priority="159" operator="equal">
      <formula>"Media"</formula>
    </cfRule>
    <cfRule type="cellIs" dxfId="152" priority="160" operator="equal">
      <formula>"Baja"</formula>
    </cfRule>
    <cfRule type="cellIs" dxfId="151" priority="161" operator="equal">
      <formula>"Muy Baja"</formula>
    </cfRule>
  </conditionalFormatting>
  <conditionalFormatting sqref="O10:AH119">
    <cfRule type="containsText" dxfId="150" priority="387" operator="containsText" text="❌">
      <formula>NOT(ISERROR(SEARCH(("❌"),(O10))))</formula>
    </cfRule>
  </conditionalFormatting>
  <conditionalFormatting sqref="AI10 BA10:BA119 AI12 AI14:AI15 AI18:AI19 AI21 AI23:AI25 AI27 AI29:AI30 AI32 AI36 AI39 AI41 AI43 AI46 AI49 AI53 AI55 AI58 AI60 AI64 AI69 AI71 AI73:AI75 AI78:AI79 AI82:AI84 AI86 AI89 AI92 AI98 AI100 AI103 AI107 AI110 AI112 AI114 AI117">
    <cfRule type="cellIs" dxfId="149" priority="162" operator="equal">
      <formula>"Catastrófico"</formula>
    </cfRule>
    <cfRule type="cellIs" dxfId="148" priority="163" operator="equal">
      <formula>"Mayor"</formula>
    </cfRule>
    <cfRule type="cellIs" dxfId="147" priority="164" operator="equal">
      <formula>"Moderado"</formula>
    </cfRule>
    <cfRule type="cellIs" dxfId="146" priority="165" operator="equal">
      <formula>"Menor"</formula>
    </cfRule>
    <cfRule type="cellIs" dxfId="145" priority="166" operator="equal">
      <formula>"Leve"</formula>
    </cfRule>
  </conditionalFormatting>
  <conditionalFormatting sqref="AK10 BC10:BC119">
    <cfRule type="cellIs" dxfId="144" priority="170" operator="equal">
      <formula>"Bajo"</formula>
    </cfRule>
    <cfRule type="cellIs" dxfId="143" priority="167" operator="equal">
      <formula>"Extremo"</formula>
    </cfRule>
    <cfRule type="cellIs" dxfId="142" priority="168" operator="equal">
      <formula>"Alto"</formula>
    </cfRule>
    <cfRule type="cellIs" dxfId="141" priority="169" operator="equal">
      <formula>"Moderado"</formula>
    </cfRule>
  </conditionalFormatting>
  <conditionalFormatting sqref="AK12">
    <cfRule type="cellIs" dxfId="140" priority="192" operator="equal">
      <formula>"Moderado"</formula>
    </cfRule>
    <cfRule type="cellIs" dxfId="139" priority="190" operator="equal">
      <formula>"Extremo"</formula>
    </cfRule>
    <cfRule type="cellIs" dxfId="138" priority="193" operator="equal">
      <formula>"Bajo"</formula>
    </cfRule>
    <cfRule type="cellIs" dxfId="137" priority="191" operator="equal">
      <formula>"Alto"</formula>
    </cfRule>
  </conditionalFormatting>
  <conditionalFormatting sqref="AK14:AK15">
    <cfRule type="cellIs" dxfId="136" priority="214" operator="equal">
      <formula>"Alto"</formula>
    </cfRule>
    <cfRule type="cellIs" dxfId="135" priority="215" operator="equal">
      <formula>"Moderado"</formula>
    </cfRule>
    <cfRule type="cellIs" dxfId="134" priority="216" operator="equal">
      <formula>"Bajo"</formula>
    </cfRule>
    <cfRule type="cellIs" dxfId="133" priority="213" operator="equal">
      <formula>"Extremo"</formula>
    </cfRule>
  </conditionalFormatting>
  <conditionalFormatting sqref="AK18:AK19">
    <cfRule type="cellIs" dxfId="132" priority="259" operator="equal">
      <formula>"Extremo"</formula>
    </cfRule>
    <cfRule type="cellIs" dxfId="131" priority="260" operator="equal">
      <formula>"Alto"</formula>
    </cfRule>
    <cfRule type="cellIs" dxfId="130" priority="261" operator="equal">
      <formula>"Moderado"</formula>
    </cfRule>
    <cfRule type="cellIs" dxfId="129" priority="262" operator="equal">
      <formula>"Bajo"</formula>
    </cfRule>
  </conditionalFormatting>
  <conditionalFormatting sqref="AK21">
    <cfRule type="cellIs" dxfId="128" priority="305" operator="equal">
      <formula>"Extremo"</formula>
    </cfRule>
    <cfRule type="cellIs" dxfId="127" priority="306" operator="equal">
      <formula>"Alto"</formula>
    </cfRule>
    <cfRule type="cellIs" dxfId="126" priority="307" operator="equal">
      <formula>"Moderado"</formula>
    </cfRule>
    <cfRule type="cellIs" dxfId="125" priority="308" operator="equal">
      <formula>"Bajo"</formula>
    </cfRule>
  </conditionalFormatting>
  <conditionalFormatting sqref="AK23:AK25">
    <cfRule type="cellIs" dxfId="124" priority="331" operator="equal">
      <formula>"Bajo"</formula>
    </cfRule>
    <cfRule type="cellIs" dxfId="123" priority="330" operator="equal">
      <formula>"Moderado"</formula>
    </cfRule>
    <cfRule type="cellIs" dxfId="122" priority="328" operator="equal">
      <formula>"Extremo"</formula>
    </cfRule>
    <cfRule type="cellIs" dxfId="121" priority="329" operator="equal">
      <formula>"Alto"</formula>
    </cfRule>
  </conditionalFormatting>
  <conditionalFormatting sqref="AK27">
    <cfRule type="cellIs" dxfId="120" priority="153" operator="equal">
      <formula>"Extremo"</formula>
    </cfRule>
    <cfRule type="cellIs" dxfId="119" priority="156" operator="equal">
      <formula>"Bajo"</formula>
    </cfRule>
    <cfRule type="cellIs" dxfId="118" priority="155" operator="equal">
      <formula>"Moderado"</formula>
    </cfRule>
    <cfRule type="cellIs" dxfId="117" priority="154" operator="equal">
      <formula>"Alto"</formula>
    </cfRule>
  </conditionalFormatting>
  <conditionalFormatting sqref="AK29:AK30">
    <cfRule type="cellIs" dxfId="116" priority="148" operator="equal">
      <formula>"Bajo"</formula>
    </cfRule>
    <cfRule type="cellIs" dxfId="115" priority="147" operator="equal">
      <formula>"Moderado"</formula>
    </cfRule>
    <cfRule type="cellIs" dxfId="114" priority="146" operator="equal">
      <formula>"Alto"</formula>
    </cfRule>
    <cfRule type="cellIs" dxfId="113" priority="145" operator="equal">
      <formula>"Extremo"</formula>
    </cfRule>
  </conditionalFormatting>
  <conditionalFormatting sqref="AK32">
    <cfRule type="cellIs" dxfId="112" priority="144" operator="equal">
      <formula>"Bajo"</formula>
    </cfRule>
    <cfRule type="cellIs" dxfId="111" priority="143" operator="equal">
      <formula>"Moderado"</formula>
    </cfRule>
    <cfRule type="cellIs" dxfId="110" priority="142" operator="equal">
      <formula>"Alto"</formula>
    </cfRule>
    <cfRule type="cellIs" dxfId="109" priority="141" operator="equal">
      <formula>"Extremo"</formula>
    </cfRule>
  </conditionalFormatting>
  <conditionalFormatting sqref="AK36">
    <cfRule type="cellIs" dxfId="108" priority="140" operator="equal">
      <formula>"Bajo"</formula>
    </cfRule>
    <cfRule type="cellIs" dxfId="107" priority="139" operator="equal">
      <formula>"Moderado"</formula>
    </cfRule>
    <cfRule type="cellIs" dxfId="106" priority="138" operator="equal">
      <formula>"Alto"</formula>
    </cfRule>
    <cfRule type="cellIs" dxfId="105" priority="137" operator="equal">
      <formula>"Extremo"</formula>
    </cfRule>
  </conditionalFormatting>
  <conditionalFormatting sqref="AK39">
    <cfRule type="cellIs" dxfId="104" priority="136" operator="equal">
      <formula>"Bajo"</formula>
    </cfRule>
    <cfRule type="cellIs" dxfId="103" priority="135" operator="equal">
      <formula>"Moderado"</formula>
    </cfRule>
    <cfRule type="cellIs" dxfId="102" priority="134" operator="equal">
      <formula>"Alto"</formula>
    </cfRule>
    <cfRule type="cellIs" dxfId="101" priority="133" operator="equal">
      <formula>"Extremo"</formula>
    </cfRule>
  </conditionalFormatting>
  <conditionalFormatting sqref="AK41">
    <cfRule type="cellIs" dxfId="100" priority="131" operator="equal">
      <formula>"Moderado"</formula>
    </cfRule>
    <cfRule type="cellIs" dxfId="99" priority="132" operator="equal">
      <formula>"Bajo"</formula>
    </cfRule>
    <cfRule type="cellIs" dxfId="98" priority="129" operator="equal">
      <formula>"Extremo"</formula>
    </cfRule>
    <cfRule type="cellIs" dxfId="97" priority="130" operator="equal">
      <formula>"Alto"</formula>
    </cfRule>
  </conditionalFormatting>
  <conditionalFormatting sqref="AK43">
    <cfRule type="cellIs" dxfId="96" priority="128" operator="equal">
      <formula>"Bajo"</formula>
    </cfRule>
    <cfRule type="cellIs" dxfId="95" priority="127" operator="equal">
      <formula>"Moderado"</formula>
    </cfRule>
    <cfRule type="cellIs" dxfId="94" priority="126" operator="equal">
      <formula>"Alto"</formula>
    </cfRule>
    <cfRule type="cellIs" dxfId="93" priority="125" operator="equal">
      <formula>"Extremo"</formula>
    </cfRule>
  </conditionalFormatting>
  <conditionalFormatting sqref="AK46">
    <cfRule type="cellIs" dxfId="92" priority="124" operator="equal">
      <formula>"Bajo"</formula>
    </cfRule>
    <cfRule type="cellIs" dxfId="91" priority="123" operator="equal">
      <formula>"Moderado"</formula>
    </cfRule>
    <cfRule type="cellIs" dxfId="90" priority="122" operator="equal">
      <formula>"Alto"</formula>
    </cfRule>
    <cfRule type="cellIs" dxfId="89" priority="121" operator="equal">
      <formula>"Extremo"</formula>
    </cfRule>
  </conditionalFormatting>
  <conditionalFormatting sqref="AK49">
    <cfRule type="cellIs" dxfId="88" priority="120" operator="equal">
      <formula>"Bajo"</formula>
    </cfRule>
    <cfRule type="cellIs" dxfId="87" priority="119" operator="equal">
      <formula>"Moderado"</formula>
    </cfRule>
    <cfRule type="cellIs" dxfId="86" priority="118" operator="equal">
      <formula>"Alto"</formula>
    </cfRule>
    <cfRule type="cellIs" dxfId="85" priority="117" operator="equal">
      <formula>"Extremo"</formula>
    </cfRule>
  </conditionalFormatting>
  <conditionalFormatting sqref="AK53">
    <cfRule type="cellIs" dxfId="84" priority="113" operator="equal">
      <formula>"Extremo"</formula>
    </cfRule>
    <cfRule type="cellIs" dxfId="83" priority="116" operator="equal">
      <formula>"Bajo"</formula>
    </cfRule>
    <cfRule type="cellIs" dxfId="82" priority="115" operator="equal">
      <formula>"Moderado"</formula>
    </cfRule>
    <cfRule type="cellIs" dxfId="81" priority="114" operator="equal">
      <formula>"Alto"</formula>
    </cfRule>
  </conditionalFormatting>
  <conditionalFormatting sqref="AK55">
    <cfRule type="cellIs" dxfId="80" priority="112" operator="equal">
      <formula>"Bajo"</formula>
    </cfRule>
    <cfRule type="cellIs" dxfId="79" priority="109" operator="equal">
      <formula>"Extremo"</formula>
    </cfRule>
    <cfRule type="cellIs" dxfId="78" priority="110" operator="equal">
      <formula>"Alto"</formula>
    </cfRule>
    <cfRule type="cellIs" dxfId="77" priority="111" operator="equal">
      <formula>"Moderado"</formula>
    </cfRule>
  </conditionalFormatting>
  <conditionalFormatting sqref="AK58">
    <cfRule type="cellIs" dxfId="76" priority="108" operator="equal">
      <formula>"Bajo"</formula>
    </cfRule>
    <cfRule type="cellIs" dxfId="75" priority="107" operator="equal">
      <formula>"Moderado"</formula>
    </cfRule>
    <cfRule type="cellIs" dxfId="74" priority="106" operator="equal">
      <formula>"Alto"</formula>
    </cfRule>
    <cfRule type="cellIs" dxfId="73" priority="105" operator="equal">
      <formula>"Extremo"</formula>
    </cfRule>
  </conditionalFormatting>
  <conditionalFormatting sqref="AK60">
    <cfRule type="cellIs" dxfId="72" priority="104" operator="equal">
      <formula>"Bajo"</formula>
    </cfRule>
    <cfRule type="cellIs" dxfId="71" priority="103" operator="equal">
      <formula>"Moderado"</formula>
    </cfRule>
    <cfRule type="cellIs" dxfId="70" priority="102" operator="equal">
      <formula>"Alto"</formula>
    </cfRule>
    <cfRule type="cellIs" dxfId="69" priority="101" operator="equal">
      <formula>"Extremo"</formula>
    </cfRule>
  </conditionalFormatting>
  <conditionalFormatting sqref="AK64">
    <cfRule type="cellIs" dxfId="68" priority="100" operator="equal">
      <formula>"Bajo"</formula>
    </cfRule>
    <cfRule type="cellIs" dxfId="67" priority="99" operator="equal">
      <formula>"Moderado"</formula>
    </cfRule>
    <cfRule type="cellIs" dxfId="66" priority="98" operator="equal">
      <formula>"Alto"</formula>
    </cfRule>
    <cfRule type="cellIs" dxfId="65" priority="97" operator="equal">
      <formula>"Extremo"</formula>
    </cfRule>
  </conditionalFormatting>
  <conditionalFormatting sqref="AK69">
    <cfRule type="cellIs" dxfId="64" priority="96" operator="equal">
      <formula>"Bajo"</formula>
    </cfRule>
    <cfRule type="cellIs" dxfId="63" priority="95" operator="equal">
      <formula>"Moderado"</formula>
    </cfRule>
    <cfRule type="cellIs" dxfId="62" priority="94" operator="equal">
      <formula>"Alto"</formula>
    </cfRule>
    <cfRule type="cellIs" dxfId="61" priority="93" operator="equal">
      <formula>"Extremo"</formula>
    </cfRule>
  </conditionalFormatting>
  <conditionalFormatting sqref="AK71">
    <cfRule type="cellIs" dxfId="60" priority="92" operator="equal">
      <formula>"Bajo"</formula>
    </cfRule>
    <cfRule type="cellIs" dxfId="59" priority="91" operator="equal">
      <formula>"Moderado"</formula>
    </cfRule>
    <cfRule type="cellIs" dxfId="58" priority="89" operator="equal">
      <formula>"Extremo"</formula>
    </cfRule>
    <cfRule type="cellIs" dxfId="57" priority="90" operator="equal">
      <formula>"Alto"</formula>
    </cfRule>
  </conditionalFormatting>
  <conditionalFormatting sqref="AK73:AK75">
    <cfRule type="cellIs" dxfId="56" priority="77" operator="equal">
      <formula>"Extremo"</formula>
    </cfRule>
    <cfRule type="cellIs" dxfId="55" priority="80" operator="equal">
      <formula>"Bajo"</formula>
    </cfRule>
    <cfRule type="cellIs" dxfId="54" priority="79" operator="equal">
      <formula>"Moderado"</formula>
    </cfRule>
    <cfRule type="cellIs" dxfId="53" priority="78" operator="equal">
      <formula>"Alto"</formula>
    </cfRule>
  </conditionalFormatting>
  <conditionalFormatting sqref="AK78:AK79">
    <cfRule type="cellIs" dxfId="52" priority="72" operator="equal">
      <formula>"Bajo"</formula>
    </cfRule>
    <cfRule type="cellIs" dxfId="51" priority="71" operator="equal">
      <formula>"Moderado"</formula>
    </cfRule>
    <cfRule type="cellIs" dxfId="50" priority="70" operator="equal">
      <formula>"Alto"</formula>
    </cfRule>
    <cfRule type="cellIs" dxfId="49" priority="69" operator="equal">
      <formula>"Extremo"</formula>
    </cfRule>
  </conditionalFormatting>
  <conditionalFormatting sqref="AK82:AK84">
    <cfRule type="cellIs" dxfId="48" priority="60" operator="equal">
      <formula>"Bajo"</formula>
    </cfRule>
    <cfRule type="cellIs" dxfId="47" priority="59" operator="equal">
      <formula>"Moderado"</formula>
    </cfRule>
    <cfRule type="cellIs" dxfId="46" priority="58" operator="equal">
      <formula>"Alto"</formula>
    </cfRule>
    <cfRule type="cellIs" dxfId="45" priority="57" operator="equal">
      <formula>"Extremo"</formula>
    </cfRule>
  </conditionalFormatting>
  <conditionalFormatting sqref="AK86">
    <cfRule type="cellIs" dxfId="44" priority="56" operator="equal">
      <formula>"Bajo"</formula>
    </cfRule>
    <cfRule type="cellIs" dxfId="43" priority="55" operator="equal">
      <formula>"Moderado"</formula>
    </cfRule>
    <cfRule type="cellIs" dxfId="42" priority="54" operator="equal">
      <formula>"Alto"</formula>
    </cfRule>
    <cfRule type="cellIs" dxfId="41" priority="53" operator="equal">
      <formula>"Extremo"</formula>
    </cfRule>
  </conditionalFormatting>
  <conditionalFormatting sqref="AK89">
    <cfRule type="cellIs" dxfId="40" priority="51" operator="equal">
      <formula>"Moderado"</formula>
    </cfRule>
    <cfRule type="cellIs" dxfId="39" priority="52" operator="equal">
      <formula>"Bajo"</formula>
    </cfRule>
    <cfRule type="cellIs" dxfId="38" priority="50" operator="equal">
      <formula>"Alto"</formula>
    </cfRule>
    <cfRule type="cellIs" dxfId="37" priority="49" operator="equal">
      <formula>"Extremo"</formula>
    </cfRule>
  </conditionalFormatting>
  <conditionalFormatting sqref="AK92">
    <cfRule type="cellIs" dxfId="36" priority="48" operator="equal">
      <formula>"Bajo"</formula>
    </cfRule>
    <cfRule type="cellIs" dxfId="35" priority="47" operator="equal">
      <formula>"Moderado"</formula>
    </cfRule>
    <cfRule type="cellIs" dxfId="34" priority="46" operator="equal">
      <formula>"Alto"</formula>
    </cfRule>
    <cfRule type="cellIs" dxfId="33" priority="45" operator="equal">
      <formula>"Extremo"</formula>
    </cfRule>
  </conditionalFormatting>
  <conditionalFormatting sqref="AK98">
    <cfRule type="cellIs" dxfId="32" priority="42" operator="equal">
      <formula>"Alto"</formula>
    </cfRule>
    <cfRule type="cellIs" dxfId="31" priority="44" operator="equal">
      <formula>"Bajo"</formula>
    </cfRule>
    <cfRule type="cellIs" dxfId="30" priority="43" operator="equal">
      <formula>"Moderado"</formula>
    </cfRule>
    <cfRule type="cellIs" dxfId="29" priority="41" operator="equal">
      <formula>"Extremo"</formula>
    </cfRule>
  </conditionalFormatting>
  <conditionalFormatting sqref="AK100">
    <cfRule type="cellIs" dxfId="28" priority="40" operator="equal">
      <formula>"Bajo"</formula>
    </cfRule>
    <cfRule type="cellIs" dxfId="27" priority="39" operator="equal">
      <formula>"Moderado"</formula>
    </cfRule>
    <cfRule type="cellIs" dxfId="26" priority="38" operator="equal">
      <formula>"Alto"</formula>
    </cfRule>
    <cfRule type="cellIs" dxfId="25" priority="37" operator="equal">
      <formula>"Extremo"</formula>
    </cfRule>
  </conditionalFormatting>
  <conditionalFormatting sqref="AK103">
    <cfRule type="cellIs" dxfId="24" priority="36" operator="equal">
      <formula>"Bajo"</formula>
    </cfRule>
    <cfRule type="cellIs" dxfId="23" priority="35" operator="equal">
      <formula>"Moderado"</formula>
    </cfRule>
    <cfRule type="cellIs" dxfId="22" priority="34" operator="equal">
      <formula>"Alto"</formula>
    </cfRule>
    <cfRule type="cellIs" dxfId="21" priority="33" operator="equal">
      <formula>"Extremo"</formula>
    </cfRule>
  </conditionalFormatting>
  <conditionalFormatting sqref="AK107">
    <cfRule type="cellIs" dxfId="20" priority="32" operator="equal">
      <formula>"Bajo"</formula>
    </cfRule>
    <cfRule type="cellIs" dxfId="19" priority="31" operator="equal">
      <formula>"Moderado"</formula>
    </cfRule>
    <cfRule type="cellIs" dxfId="18" priority="30" operator="equal">
      <formula>"Alto"</formula>
    </cfRule>
    <cfRule type="cellIs" dxfId="17" priority="29" operator="equal">
      <formula>"Extremo"</formula>
    </cfRule>
  </conditionalFormatting>
  <conditionalFormatting sqref="AK110">
    <cfRule type="cellIs" dxfId="16" priority="28" operator="equal">
      <formula>"Bajo"</formula>
    </cfRule>
    <cfRule type="cellIs" dxfId="15" priority="27" operator="equal">
      <formula>"Moderado"</formula>
    </cfRule>
    <cfRule type="cellIs" dxfId="14" priority="26" operator="equal">
      <formula>"Alto"</formula>
    </cfRule>
    <cfRule type="cellIs" dxfId="13" priority="25" operator="equal">
      <formula>"Extremo"</formula>
    </cfRule>
  </conditionalFormatting>
  <conditionalFormatting sqref="AK112">
    <cfRule type="cellIs" dxfId="12" priority="24" operator="equal">
      <formula>"Bajo"</formula>
    </cfRule>
    <cfRule type="cellIs" dxfId="11" priority="23" operator="equal">
      <formula>"Moderado"</formula>
    </cfRule>
    <cfRule type="cellIs" dxfId="10" priority="22" operator="equal">
      <formula>"Alto"</formula>
    </cfRule>
    <cfRule type="cellIs" dxfId="9" priority="21" operator="equal">
      <formula>"Extremo"</formula>
    </cfRule>
  </conditionalFormatting>
  <conditionalFormatting sqref="AK114">
    <cfRule type="cellIs" dxfId="8" priority="20" operator="equal">
      <formula>"Bajo"</formula>
    </cfRule>
    <cfRule type="cellIs" dxfId="7" priority="19" operator="equal">
      <formula>"Moderado"</formula>
    </cfRule>
    <cfRule type="cellIs" dxfId="6" priority="18" operator="equal">
      <formula>"Alto"</formula>
    </cfRule>
    <cfRule type="cellIs" dxfId="5" priority="17" operator="equal">
      <formula>"Extremo"</formula>
    </cfRule>
  </conditionalFormatting>
  <conditionalFormatting sqref="AK117">
    <cfRule type="cellIs" dxfId="4" priority="13" operator="equal">
      <formula>"Extremo"</formula>
    </cfRule>
    <cfRule type="cellIs" dxfId="3" priority="16" operator="equal">
      <formula>"Bajo"</formula>
    </cfRule>
    <cfRule type="cellIs" dxfId="2" priority="15" operator="equal">
      <formula>"Moderado"</formula>
    </cfRule>
    <cfRule type="cellIs" dxfId="1" priority="14" operator="equal">
      <formula>"Alto"</formula>
    </cfRule>
  </conditionalFormatting>
  <dataValidations count="1">
    <dataValidation type="list" allowBlank="1" showInputMessage="1" showErrorMessage="1" sqref="E10:E119" xr:uid="{F6B97FE2-1F67-4B6C-8475-8C75504DDBAE}">
      <formula1>INDIRECT(D10)</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23">
        <x14:dataValidation type="list" allowBlank="1" showErrorMessage="1" xr:uid="{00196F71-1F29-4C06-A876-0C4038C28E5F}">
          <x14:formula1>
            <xm:f>'Tabla Impacto'!$F$210:$F$221</xm:f>
          </x14:formula1>
          <xm:sqref>N10 N23:N25 N21 N19 N27 N29:N30 N32 N36 N39 N41 N43 N46 N49 N53 N55 N58 N60 N64 N69 N71 N73:N75 N78:N79 N82:N84 N86 N89 N92 N98 N100 N103 N107 N110 N114 N117</xm:sqref>
        </x14:dataValidation>
        <x14:dataValidation type="list" allowBlank="1" showErrorMessage="1" xr:uid="{C2C5FE9F-215E-43BE-A69E-AD6D9277C55C}">
          <x14:formula1>
            <xm:f>'Opciones Tratamiento'!$B$9:$B$10</xm:f>
          </x14:formula1>
          <xm:sqref>BJ10:BJ16 BJ18:BJ33 BJ35:BJ37 BJ39:BJ44 BJ46:BJ47 BJ49:BJ50 BJ52:BJ56 BJ58:BJ61 BJ63:BJ65 BJ67:BJ76 BJ78:BJ80 BJ82:BJ87 BJ89:BJ90 BJ92:BJ93 BJ95:BJ96 BJ98:BJ101 BJ103:BJ104 BJ106:BJ108 BJ110:BJ115 BJ117:BJ118</xm:sqref>
        </x14:dataValidation>
        <x14:dataValidation type="list" allowBlank="1" showErrorMessage="1" xr:uid="{86E7B08E-6F62-4227-ADDC-CFA8C55D2153}">
          <x14:formula1>
            <xm:f>'Opciones Tratamiento'!$E$2:$E$4</xm:f>
          </x14:formula1>
          <xm:sqref>C12 C10 C23:C25 C21 C18:C19 C14:C15 C27 C29:C30 C32 C36 C39 C41 C43 C46 C49 C53 C55 C58 C60 C64 C69 C71 C73:C75 C78:C79 C82:C84 C86 C89 C92 C98 C100 C103 C107 C110 C112 C114 C117</xm:sqref>
        </x14:dataValidation>
        <x14:dataValidation type="list" allowBlank="1" showInputMessage="1" showErrorMessage="1" xr:uid="{8C42589F-16A6-4275-AA28-59D0F27E4FFD}">
          <x14:formula1>
            <xm:f>'Opciones Tratamiento'!$Q$2:$Q$22</xm:f>
          </x14:formula1>
          <xm:sqref>B10:B11</xm:sqref>
        </x14:dataValidation>
        <x14:dataValidation type="list" allowBlank="1" showInputMessage="1" showErrorMessage="1" xr:uid="{94241DA2-36EB-4189-81D6-D267016D7B00}">
          <x14:formula1>
            <xm:f>'Opciones Tratamiento'!$B$13:$B$23</xm:f>
          </x14:formula1>
          <xm:sqref>I10:I11 I79:I81 I86:I88</xm:sqref>
        </x14:dataValidation>
        <x14:dataValidation type="list" allowBlank="1" showInputMessage="1" showErrorMessage="1" xr:uid="{52D73894-B393-4445-B9AD-CC690C274078}">
          <x14:formula1>
            <xm:f>'Opciones Tratamiento'!$Q$6:$Q$22</xm:f>
          </x14:formula1>
          <xm:sqref>B12:B14</xm:sqref>
        </x14:dataValidation>
        <x14:dataValidation type="list" allowBlank="1" showErrorMessage="1" xr:uid="{049F869D-D887-450A-BC41-B6DB928887F9}">
          <x14:formula1>
            <xm:f>'Tabla Valoración controles'!$D$11:$D$12</xm:f>
          </x14:formula1>
          <xm:sqref>AV10:AV14 AV19:AV31 AV46 AV53:AV54 AV71:AV73 AV89:AV119</xm:sqref>
        </x14:dataValidation>
        <x14:dataValidation type="list" allowBlank="1" showErrorMessage="1" xr:uid="{709BDCDF-A96B-4A1F-A3C4-E655D60169D2}">
          <x14:formula1>
            <xm:f>'Tabla Valoración controles'!$D$9:$D$10</xm:f>
          </x14:formula1>
          <xm:sqref>AU10:AU14 AU19:AU23 AU25:AU31 AU46 AU53:AU54 AU71:AU73 AU89:AU119</xm:sqref>
        </x14:dataValidation>
        <x14:dataValidation type="list" allowBlank="1" showErrorMessage="1" xr:uid="{E0C8ED39-71B4-4047-9D70-A890CFDFF4D5}">
          <x14:formula1>
            <xm:f>'Tabla Valoración controles'!$D$13:$D$14</xm:f>
          </x14:formula1>
          <xm:sqref>AW10:AW14 AW19:AW31 AW46 AW53:AW54 AW71:AW73 AW89:AW119</xm:sqref>
        </x14:dataValidation>
        <x14:dataValidation type="list" allowBlank="1" showErrorMessage="1" xr:uid="{766F8884-A2F5-41A0-9444-46657E946BB4}">
          <x14:formula1>
            <xm:f>'Tabla Valoración controles'!$D$7:$D$8</xm:f>
          </x14:formula1>
          <xm:sqref>AS10:AS14 AS19:AS119</xm:sqref>
        </x14:dataValidation>
        <x14:dataValidation type="list" allowBlank="1" showErrorMessage="1" xr:uid="{3B53EB85-6381-4C36-91F3-D219B31B5F9D}">
          <x14:formula1>
            <xm:f>'Tabla Valoración controles'!$D$4:$D$6</xm:f>
          </x14:formula1>
          <xm:sqref>AR10:AR14 AR19:AR119</xm:sqref>
        </x14:dataValidation>
        <x14:dataValidation type="list" allowBlank="1" showInputMessage="1" showErrorMessage="1" xr:uid="{BFDAA0A5-1B94-4214-9289-05415224ABFC}">
          <x14:formula1>
            <xm:f>'Opciones Tratamiento'!$K$2:$K$17</xm:f>
          </x14:formula1>
          <xm:sqref>K10:K17 K19:K119</xm:sqref>
        </x14:dataValidation>
        <x14:dataValidation type="custom" allowBlank="1" showInputMessage="1" showErrorMessage="1" prompt="Recuerde que las acciones se generan bajo la medida de mitigar el riesgo" xr:uid="{56CF9FBA-6826-4804-BB65-90FF759EDC7B}">
          <x14:formula1>
            <xm:f>IF(OR(BD10='Opciones Tratamiento'!$B$2,BD10='Opciones Tratamiento'!$B$3,BD10='Opciones Tratamiento'!$B$4),ISBLANK(BD10),ISTEXT(BD10))</xm:f>
          </x14:formula1>
          <xm:sqref>BE10:BE19 BE22:BE23 BE25:BE52 BE54:BE70 BE74:BE119</xm:sqref>
        </x14:dataValidation>
        <x14:dataValidation type="custom" allowBlank="1" showInputMessage="1" showErrorMessage="1" prompt="Recuerde que las acciones se generan bajo la medida de mitigar el riesgo" xr:uid="{AF1DDC02-26DE-4830-85CE-29B9C6BBF7E0}">
          <x14:formula1>
            <xm:f>IF(OR(BD10='Opciones Tratamiento'!$B$2,BD10='Opciones Tratamiento'!$B$3,BD10='Opciones Tratamiento'!$B$4),ISBLANK(BD10),ISTEXT(BD10))</xm:f>
          </x14:formula1>
          <xm:sqref>BH10:BH19 BH22:BH23 BH25:BH52 BH54:BH70 BH74:BH119</xm:sqref>
        </x14:dataValidation>
        <x14:dataValidation type="custom" allowBlank="1" showInputMessage="1" showErrorMessage="1" prompt="Recuerde que las acciones se generan bajo la medida de mitigar el riesgo" xr:uid="{B33A575D-296D-4F85-9D9B-4DC82A781D7F}">
          <x14:formula1>
            <xm:f>IF(OR(BD10='Opciones Tratamiento'!$B$2,BD10='Opciones Tratamiento'!$B$3,BD10='Opciones Tratamiento'!$B$4),ISBLANK(BD10),ISTEXT(BD10))</xm:f>
          </x14:formula1>
          <xm:sqref>BG10:BG19 BG22:BG23 BG25:BG52 BG54:BG70 BG74:BG119</xm:sqref>
        </x14:dataValidation>
        <x14:dataValidation type="custom" allowBlank="1" showInputMessage="1" showErrorMessage="1" prompt="Recuerde que las acciones se generan bajo la medida de mitigar el riesgo" xr:uid="{E6C97E70-6A31-4293-86BF-2F35EB8375EE}">
          <x14:formula1>
            <xm:f>IF(OR(BD10='Opciones Tratamiento'!$B$2,BD10='Opciones Tratamiento'!$B$3,BD10='Opciones Tratamiento'!$B$4),ISBLANK(BD10),ISTEXT(BD10))</xm:f>
          </x14:formula1>
          <xm:sqref>BF10:BF19 BF22:BF23 BF25:BF52 BF54:BF70 BF74:BF119</xm:sqref>
        </x14:dataValidation>
        <x14:dataValidation type="list" allowBlank="1" showErrorMessage="1" xr:uid="{FA8FA69B-27B5-4E73-9E52-C27AF018B197}">
          <x14:formula1>
            <xm:f>'Opciones Tratamiento'!$B$13:$B$22</xm:f>
          </x14:formula1>
          <xm:sqref>I12:I23 I25:I78 I82:I85 I89:I119</xm:sqref>
        </x14:dataValidation>
        <x14:dataValidation type="list" allowBlank="1" showErrorMessage="1" xr:uid="{300F580D-C62E-43C7-826A-F38AE15016B4}">
          <x14:formula1>
            <xm:f>'Opciones Tratamiento'!$B$2:$B$5</xm:f>
          </x14:formula1>
          <xm:sqref>BD10:BD119</xm:sqref>
        </x14:dataValidation>
        <x14:dataValidation type="list" allowBlank="1" showInputMessage="1" showErrorMessage="1" xr:uid="{78C490CA-8F22-4DC5-84E7-DD36F7CEA155}">
          <x14:formula1>
            <xm:f>'Opciones Tratamiento'!$H$2:$H$4</xm:f>
          </x14:formula1>
          <xm:sqref>D10:D119</xm:sqref>
        </x14:dataValidation>
        <x14:dataValidation type="list" allowBlank="1" showInputMessage="1" showErrorMessage="1" xr:uid="{CBD39705-7B52-4CD9-B1F2-3EC640276815}">
          <x14:formula1>
            <xm:f>'Opciones Tratamiento'!$J$2:$J$3</xm:f>
          </x14:formula1>
          <xm:sqref>J10:J119</xm:sqref>
        </x14:dataValidation>
        <x14:dataValidation type="list" allowBlank="1" showInputMessage="1" showErrorMessage="1" xr:uid="{EF3D500F-B189-45BF-B067-C6F729CA5E74}">
          <x14:formula1>
            <xm:f>'Opciones Tratamiento'!$P$2:$P$4</xm:f>
          </x14:formula1>
          <xm:sqref>P10:AH119</xm:sqref>
        </x14:dataValidation>
        <x14:dataValidation type="list" allowBlank="1" showInputMessage="1" showErrorMessage="1" xr:uid="{8F85A27B-6690-4201-97A8-15D9A9D5A458}">
          <x14:formula1>
            <xm:f>'Opciones Tratamiento'!$M$2:$M$37</xm:f>
          </x14:formula1>
          <xm:sqref>AM10:AM119</xm:sqref>
        </x14:dataValidation>
        <x14:dataValidation type="custom" allowBlank="1" showInputMessage="1" showErrorMessage="1" prompt="Recuerde que las acciones se generan bajo la medida de mitigar el riesgo" xr:uid="{CAD4B520-BFA7-428E-BDD7-D4F633C489D3}">
          <x14:formula1>
            <xm:f>IF(OR(BD10='Opciones Tratamiento'!$B$2,BD10='Opciones Tratamiento'!$B$3,BD10='Opciones Tratamiento'!$B$4),ISBLANK(BD10),ISTEXT(BD10))</xm:f>
          </x14:formula1>
          <xm:sqref>BI10:BI119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Q1000"/>
  <sheetViews>
    <sheetView topLeftCell="A6" workbookViewId="0">
      <selection activeCell="G19" sqref="G19"/>
    </sheetView>
  </sheetViews>
  <sheetFormatPr baseColWidth="10" defaultColWidth="12.625" defaultRowHeight="15" customHeight="1" x14ac:dyDescent="0.2"/>
  <cols>
    <col min="1" max="7" width="9.375" customWidth="1"/>
    <col min="8" max="8" width="17.375" customWidth="1"/>
    <col min="9" max="9" width="21.125" customWidth="1"/>
    <col min="10" max="11" width="10.625" customWidth="1"/>
    <col min="12" max="12" width="23.375" customWidth="1"/>
    <col min="13" max="13" width="22.5" customWidth="1"/>
    <col min="14" max="17" width="10.625" customWidth="1"/>
    <col min="18" max="27" width="9.375" customWidth="1"/>
  </cols>
  <sheetData>
    <row r="1" spans="2:17" ht="15" customHeight="1" x14ac:dyDescent="0.2">
      <c r="H1" t="s">
        <v>212</v>
      </c>
      <c r="I1" t="s">
        <v>214</v>
      </c>
      <c r="J1" t="s">
        <v>229</v>
      </c>
      <c r="K1" t="s">
        <v>235</v>
      </c>
      <c r="L1" t="s">
        <v>236</v>
      </c>
      <c r="M1" t="s">
        <v>281</v>
      </c>
      <c r="N1" t="s">
        <v>282</v>
      </c>
      <c r="O1" t="s">
        <v>283</v>
      </c>
      <c r="P1" t="s">
        <v>216</v>
      </c>
      <c r="Q1" t="s">
        <v>397</v>
      </c>
    </row>
    <row r="2" spans="2:17" x14ac:dyDescent="0.25">
      <c r="B2" s="98" t="s">
        <v>190</v>
      </c>
      <c r="E2" s="98" t="s">
        <v>191</v>
      </c>
      <c r="H2" t="s">
        <v>217</v>
      </c>
      <c r="I2" t="s">
        <v>215</v>
      </c>
      <c r="J2" t="s">
        <v>230</v>
      </c>
      <c r="K2" t="s">
        <v>237</v>
      </c>
      <c r="L2" t="s">
        <v>238</v>
      </c>
      <c r="M2" t="s">
        <v>284</v>
      </c>
      <c r="N2" t="s">
        <v>285</v>
      </c>
      <c r="O2" t="s">
        <v>286</v>
      </c>
      <c r="P2" s="119" t="s">
        <v>230</v>
      </c>
      <c r="Q2" t="s">
        <v>398</v>
      </c>
    </row>
    <row r="3" spans="2:17" x14ac:dyDescent="0.25">
      <c r="B3" s="98" t="s">
        <v>192</v>
      </c>
      <c r="E3" s="98" t="s">
        <v>193</v>
      </c>
      <c r="H3" t="s">
        <v>227</v>
      </c>
      <c r="I3" t="s">
        <v>215</v>
      </c>
      <c r="J3" t="s">
        <v>231</v>
      </c>
      <c r="K3" t="s">
        <v>239</v>
      </c>
      <c r="L3" t="s">
        <v>240</v>
      </c>
      <c r="M3" t="s">
        <v>287</v>
      </c>
      <c r="N3" t="s">
        <v>288</v>
      </c>
      <c r="O3" t="s">
        <v>289</v>
      </c>
      <c r="P3" s="119" t="s">
        <v>231</v>
      </c>
      <c r="Q3" t="s">
        <v>399</v>
      </c>
    </row>
    <row r="4" spans="2:17" x14ac:dyDescent="0.25">
      <c r="B4" s="98" t="s">
        <v>194</v>
      </c>
      <c r="E4" s="98" t="s">
        <v>195</v>
      </c>
      <c r="H4" t="s">
        <v>218</v>
      </c>
      <c r="I4" t="s">
        <v>394</v>
      </c>
      <c r="K4" t="s">
        <v>241</v>
      </c>
      <c r="L4" t="s">
        <v>242</v>
      </c>
      <c r="M4" t="s">
        <v>290</v>
      </c>
      <c r="N4" t="s">
        <v>291</v>
      </c>
      <c r="O4" t="s">
        <v>292</v>
      </c>
      <c r="P4" s="119" t="s">
        <v>215</v>
      </c>
      <c r="Q4" t="s">
        <v>400</v>
      </c>
    </row>
    <row r="5" spans="2:17" x14ac:dyDescent="0.25">
      <c r="B5" s="98" t="s">
        <v>196</v>
      </c>
      <c r="I5" s="119" t="s">
        <v>395</v>
      </c>
      <c r="K5" t="s">
        <v>243</v>
      </c>
      <c r="L5" t="s">
        <v>242</v>
      </c>
      <c r="M5" t="s">
        <v>293</v>
      </c>
      <c r="N5" t="s">
        <v>294</v>
      </c>
      <c r="O5" t="s">
        <v>295</v>
      </c>
      <c r="P5" s="119"/>
      <c r="Q5" t="s">
        <v>401</v>
      </c>
    </row>
    <row r="6" spans="2:17" ht="15" customHeight="1" x14ac:dyDescent="0.2">
      <c r="I6" t="s">
        <v>396</v>
      </c>
      <c r="K6" t="s">
        <v>244</v>
      </c>
      <c r="L6" t="s">
        <v>242</v>
      </c>
      <c r="M6" t="s">
        <v>296</v>
      </c>
      <c r="N6" t="s">
        <v>297</v>
      </c>
      <c r="O6" t="s">
        <v>298</v>
      </c>
      <c r="P6" s="119"/>
      <c r="Q6" t="s">
        <v>402</v>
      </c>
    </row>
    <row r="7" spans="2:17" ht="15" customHeight="1" x14ac:dyDescent="0.2">
      <c r="I7" t="s">
        <v>219</v>
      </c>
      <c r="K7" t="s">
        <v>245</v>
      </c>
      <c r="L7" t="s">
        <v>242</v>
      </c>
      <c r="M7" t="s">
        <v>299</v>
      </c>
      <c r="N7" t="s">
        <v>300</v>
      </c>
      <c r="O7" t="s">
        <v>301</v>
      </c>
      <c r="Q7" t="s">
        <v>403</v>
      </c>
    </row>
    <row r="8" spans="2:17" x14ac:dyDescent="0.25">
      <c r="B8" s="98" t="s">
        <v>197</v>
      </c>
      <c r="I8" t="s">
        <v>220</v>
      </c>
      <c r="K8" t="s">
        <v>246</v>
      </c>
      <c r="L8" t="s">
        <v>242</v>
      </c>
      <c r="M8" t="s">
        <v>302</v>
      </c>
      <c r="N8" t="s">
        <v>303</v>
      </c>
      <c r="O8" t="s">
        <v>304</v>
      </c>
      <c r="Q8" t="s">
        <v>404</v>
      </c>
    </row>
    <row r="9" spans="2:17" x14ac:dyDescent="0.25">
      <c r="B9" s="98" t="s">
        <v>198</v>
      </c>
      <c r="I9" t="s">
        <v>221</v>
      </c>
      <c r="K9" t="s">
        <v>247</v>
      </c>
      <c r="L9" t="s">
        <v>242</v>
      </c>
      <c r="M9" t="s">
        <v>305</v>
      </c>
      <c r="N9" t="s">
        <v>306</v>
      </c>
      <c r="O9" t="s">
        <v>307</v>
      </c>
      <c r="Q9" t="s">
        <v>405</v>
      </c>
    </row>
    <row r="10" spans="2:17" x14ac:dyDescent="0.25">
      <c r="B10" s="98" t="s">
        <v>199</v>
      </c>
      <c r="I10" t="s">
        <v>222</v>
      </c>
      <c r="K10" t="s">
        <v>248</v>
      </c>
      <c r="L10" t="s">
        <v>249</v>
      </c>
      <c r="M10" t="s">
        <v>308</v>
      </c>
      <c r="N10" t="s">
        <v>309</v>
      </c>
      <c r="O10" t="s">
        <v>310</v>
      </c>
      <c r="Q10" t="s">
        <v>406</v>
      </c>
    </row>
    <row r="11" spans="2:17" ht="15" customHeight="1" x14ac:dyDescent="0.2">
      <c r="I11" t="s">
        <v>223</v>
      </c>
      <c r="K11" t="s">
        <v>250</v>
      </c>
      <c r="L11" t="s">
        <v>249</v>
      </c>
      <c r="M11" t="s">
        <v>311</v>
      </c>
      <c r="N11" t="s">
        <v>312</v>
      </c>
      <c r="O11" t="s">
        <v>313</v>
      </c>
      <c r="Q11" t="s">
        <v>407</v>
      </c>
    </row>
    <row r="12" spans="2:17" ht="15" customHeight="1" x14ac:dyDescent="0.2">
      <c r="I12" t="s">
        <v>224</v>
      </c>
      <c r="K12" t="s">
        <v>251</v>
      </c>
      <c r="L12" t="s">
        <v>249</v>
      </c>
      <c r="M12" t="s">
        <v>314</v>
      </c>
      <c r="N12" t="s">
        <v>315</v>
      </c>
      <c r="O12" t="s">
        <v>316</v>
      </c>
      <c r="Q12" t="s">
        <v>408</v>
      </c>
    </row>
    <row r="13" spans="2:17" x14ac:dyDescent="0.25">
      <c r="B13" s="98" t="s">
        <v>200</v>
      </c>
      <c r="I13" t="s">
        <v>225</v>
      </c>
      <c r="K13" t="s">
        <v>252</v>
      </c>
      <c r="L13" t="s">
        <v>249</v>
      </c>
      <c r="M13" t="s">
        <v>317</v>
      </c>
      <c r="N13" t="s">
        <v>318</v>
      </c>
      <c r="O13" t="s">
        <v>319</v>
      </c>
      <c r="Q13" t="s">
        <v>409</v>
      </c>
    </row>
    <row r="14" spans="2:17" x14ac:dyDescent="0.25">
      <c r="B14" s="98" t="s">
        <v>201</v>
      </c>
      <c r="I14" t="s">
        <v>226</v>
      </c>
      <c r="K14" t="s">
        <v>253</v>
      </c>
      <c r="L14" t="s">
        <v>254</v>
      </c>
      <c r="M14" t="s">
        <v>320</v>
      </c>
      <c r="N14" t="s">
        <v>321</v>
      </c>
      <c r="O14" t="s">
        <v>322</v>
      </c>
      <c r="Q14" t="s">
        <v>410</v>
      </c>
    </row>
    <row r="15" spans="2:17" x14ac:dyDescent="0.25">
      <c r="B15" s="98" t="s">
        <v>202</v>
      </c>
      <c r="K15" t="s">
        <v>255</v>
      </c>
      <c r="L15" t="s">
        <v>254</v>
      </c>
      <c r="M15" t="s">
        <v>323</v>
      </c>
      <c r="N15" t="s">
        <v>324</v>
      </c>
      <c r="O15" t="s">
        <v>325</v>
      </c>
      <c r="Q15" t="s">
        <v>411</v>
      </c>
    </row>
    <row r="16" spans="2:17" x14ac:dyDescent="0.25">
      <c r="B16" s="98" t="s">
        <v>203</v>
      </c>
      <c r="K16" t="s">
        <v>256</v>
      </c>
      <c r="L16" t="s">
        <v>254</v>
      </c>
      <c r="M16" t="s">
        <v>326</v>
      </c>
      <c r="N16" t="s">
        <v>327</v>
      </c>
      <c r="O16" t="s">
        <v>328</v>
      </c>
      <c r="Q16" t="s">
        <v>412</v>
      </c>
    </row>
    <row r="17" spans="2:17" x14ac:dyDescent="0.25">
      <c r="B17" s="98" t="s">
        <v>204</v>
      </c>
      <c r="K17" t="s">
        <v>257</v>
      </c>
      <c r="L17" t="s">
        <v>238</v>
      </c>
      <c r="M17" t="s">
        <v>259</v>
      </c>
      <c r="N17" t="s">
        <v>329</v>
      </c>
      <c r="O17" t="s">
        <v>330</v>
      </c>
      <c r="Q17" t="s">
        <v>413</v>
      </c>
    </row>
    <row r="18" spans="2:17" x14ac:dyDescent="0.25">
      <c r="B18" s="98" t="s">
        <v>205</v>
      </c>
      <c r="M18" t="s">
        <v>331</v>
      </c>
      <c r="N18" t="s">
        <v>332</v>
      </c>
      <c r="O18" t="s">
        <v>333</v>
      </c>
      <c r="Q18" t="s">
        <v>414</v>
      </c>
    </row>
    <row r="19" spans="2:17" x14ac:dyDescent="0.25">
      <c r="B19" s="98" t="s">
        <v>206</v>
      </c>
      <c r="M19" t="s">
        <v>334</v>
      </c>
      <c r="N19" t="s">
        <v>335</v>
      </c>
      <c r="O19" t="s">
        <v>336</v>
      </c>
      <c r="Q19" t="s">
        <v>415</v>
      </c>
    </row>
    <row r="20" spans="2:17" ht="15" customHeight="1" x14ac:dyDescent="0.25">
      <c r="B20" s="96" t="s">
        <v>232</v>
      </c>
      <c r="M20" t="s">
        <v>337</v>
      </c>
      <c r="N20" t="s">
        <v>338</v>
      </c>
      <c r="O20" t="s">
        <v>339</v>
      </c>
      <c r="Q20" t="s">
        <v>416</v>
      </c>
    </row>
    <row r="21" spans="2:17" ht="15.75" customHeight="1" x14ac:dyDescent="0.25">
      <c r="B21" s="96" t="s">
        <v>233</v>
      </c>
      <c r="M21" t="s">
        <v>260</v>
      </c>
      <c r="N21" t="s">
        <v>340</v>
      </c>
      <c r="O21" t="s">
        <v>341</v>
      </c>
      <c r="Q21" t="s">
        <v>417</v>
      </c>
    </row>
    <row r="22" spans="2:17" ht="15.75" customHeight="1" x14ac:dyDescent="0.25">
      <c r="B22" s="96" t="s">
        <v>234</v>
      </c>
      <c r="M22" t="s">
        <v>342</v>
      </c>
      <c r="N22" t="s">
        <v>343</v>
      </c>
      <c r="O22" t="s">
        <v>344</v>
      </c>
      <c r="Q22" t="s">
        <v>418</v>
      </c>
    </row>
    <row r="23" spans="2:17" ht="15.75" customHeight="1" x14ac:dyDescent="0.25">
      <c r="B23" s="96" t="s">
        <v>420</v>
      </c>
      <c r="M23" t="s">
        <v>345</v>
      </c>
      <c r="N23" t="s">
        <v>346</v>
      </c>
      <c r="O23" t="s">
        <v>347</v>
      </c>
    </row>
    <row r="24" spans="2:17" ht="15.75" customHeight="1" x14ac:dyDescent="0.2">
      <c r="M24" t="s">
        <v>348</v>
      </c>
      <c r="N24" t="s">
        <v>349</v>
      </c>
      <c r="O24" t="s">
        <v>350</v>
      </c>
    </row>
    <row r="25" spans="2:17" ht="15.75" customHeight="1" x14ac:dyDescent="0.2">
      <c r="M25" t="s">
        <v>351</v>
      </c>
      <c r="N25" t="s">
        <v>352</v>
      </c>
      <c r="O25" t="s">
        <v>353</v>
      </c>
    </row>
    <row r="26" spans="2:17" ht="15.75" customHeight="1" x14ac:dyDescent="0.2">
      <c r="M26" t="s">
        <v>354</v>
      </c>
      <c r="N26" t="s">
        <v>355</v>
      </c>
      <c r="O26" t="s">
        <v>356</v>
      </c>
    </row>
    <row r="27" spans="2:17" ht="15.75" customHeight="1" x14ac:dyDescent="0.2">
      <c r="M27" t="s">
        <v>357</v>
      </c>
      <c r="N27" t="s">
        <v>358</v>
      </c>
      <c r="O27" t="s">
        <v>359</v>
      </c>
    </row>
    <row r="28" spans="2:17" ht="15.75" customHeight="1" x14ac:dyDescent="0.2">
      <c r="M28" t="s">
        <v>360</v>
      </c>
      <c r="N28" t="s">
        <v>361</v>
      </c>
      <c r="O28" t="s">
        <v>362</v>
      </c>
    </row>
    <row r="29" spans="2:17" ht="15.75" customHeight="1" x14ac:dyDescent="0.2">
      <c r="M29" t="s">
        <v>363</v>
      </c>
      <c r="N29" t="s">
        <v>364</v>
      </c>
      <c r="O29" t="s">
        <v>365</v>
      </c>
    </row>
    <row r="30" spans="2:17" ht="15.75" customHeight="1" x14ac:dyDescent="0.2">
      <c r="M30" t="s">
        <v>366</v>
      </c>
      <c r="N30" t="s">
        <v>367</v>
      </c>
      <c r="O30" t="s">
        <v>368</v>
      </c>
    </row>
    <row r="31" spans="2:17" ht="15.75" customHeight="1" x14ac:dyDescent="0.2">
      <c r="M31" t="s">
        <v>369</v>
      </c>
      <c r="N31" t="s">
        <v>370</v>
      </c>
      <c r="O31" t="s">
        <v>371</v>
      </c>
    </row>
    <row r="32" spans="2:17" ht="15.75" customHeight="1" x14ac:dyDescent="0.2">
      <c r="M32" t="s">
        <v>372</v>
      </c>
      <c r="N32" t="s">
        <v>373</v>
      </c>
      <c r="O32" t="s">
        <v>374</v>
      </c>
    </row>
    <row r="33" spans="13:17" ht="15.75" customHeight="1" x14ac:dyDescent="0.2">
      <c r="M33" t="s">
        <v>375</v>
      </c>
      <c r="N33" t="s">
        <v>376</v>
      </c>
      <c r="O33" t="s">
        <v>377</v>
      </c>
    </row>
    <row r="34" spans="13:17" ht="15.75" customHeight="1" x14ac:dyDescent="0.2">
      <c r="M34" t="s">
        <v>378</v>
      </c>
      <c r="N34" t="s">
        <v>379</v>
      </c>
      <c r="O34" t="s">
        <v>380</v>
      </c>
    </row>
    <row r="35" spans="13:17" ht="15.75" customHeight="1" x14ac:dyDescent="0.2">
      <c r="M35" t="s">
        <v>381</v>
      </c>
      <c r="N35" t="s">
        <v>382</v>
      </c>
      <c r="O35" t="s">
        <v>383</v>
      </c>
    </row>
    <row r="36" spans="13:17" ht="15.75" customHeight="1" x14ac:dyDescent="0.2">
      <c r="M36" t="s">
        <v>384</v>
      </c>
      <c r="N36" t="s">
        <v>385</v>
      </c>
      <c r="O36" t="s">
        <v>386</v>
      </c>
    </row>
    <row r="37" spans="13:17" ht="15.75" customHeight="1" x14ac:dyDescent="0.2">
      <c r="M37" s="119" t="s">
        <v>215</v>
      </c>
      <c r="N37" s="119" t="s">
        <v>215</v>
      </c>
      <c r="O37" s="119" t="s">
        <v>215</v>
      </c>
      <c r="Q37" s="119"/>
    </row>
    <row r="38" spans="13:17" ht="15.75" customHeight="1" x14ac:dyDescent="0.2"/>
    <row r="39" spans="13:17" ht="15.75" customHeight="1" x14ac:dyDescent="0.2"/>
    <row r="40" spans="13:17" ht="15.75" customHeight="1" x14ac:dyDescent="0.2"/>
    <row r="41" spans="13:17" ht="15.75" customHeight="1" x14ac:dyDescent="0.2"/>
    <row r="42" spans="13:17" ht="15.75" customHeight="1" x14ac:dyDescent="0.2"/>
    <row r="43" spans="13:17" ht="15.75" customHeight="1" x14ac:dyDescent="0.2"/>
    <row r="44" spans="13:17" ht="15.75" customHeight="1" x14ac:dyDescent="0.2"/>
    <row r="45" spans="13:17" ht="15.75" customHeight="1" x14ac:dyDescent="0.2"/>
    <row r="46" spans="13:17" ht="15.75" customHeight="1" x14ac:dyDescent="0.2"/>
    <row r="47" spans="13:17" ht="15.75" customHeight="1" x14ac:dyDescent="0.2"/>
    <row r="48" spans="13:17"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honeticPr fontId="52"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topLeftCell="A12" zoomScale="60" workbookViewId="0">
      <selection activeCell="L16" sqref="L16:M17"/>
    </sheetView>
  </sheetViews>
  <sheetFormatPr baseColWidth="10" defaultColWidth="12.625" defaultRowHeight="15" customHeight="1" x14ac:dyDescent="0.2"/>
  <cols>
    <col min="1" max="1" width="9.375" customWidth="1"/>
    <col min="2" max="39" width="5" customWidth="1"/>
    <col min="40" max="40" width="9.375" customWidth="1"/>
    <col min="41" max="46" width="5" customWidth="1"/>
    <col min="47" max="61" width="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55" t="s">
        <v>91</v>
      </c>
      <c r="C2" s="170"/>
      <c r="D2" s="170"/>
      <c r="E2" s="170"/>
      <c r="F2" s="170"/>
      <c r="G2" s="170"/>
      <c r="H2" s="170"/>
      <c r="I2" s="170"/>
      <c r="J2" s="256" t="s">
        <v>15</v>
      </c>
      <c r="K2" s="257"/>
      <c r="L2" s="257"/>
      <c r="M2" s="257"/>
      <c r="N2" s="257"/>
      <c r="O2" s="257"/>
      <c r="P2" s="257"/>
      <c r="Q2" s="257"/>
      <c r="R2" s="257"/>
      <c r="S2" s="257"/>
      <c r="T2" s="257"/>
      <c r="U2" s="257"/>
      <c r="V2" s="257"/>
      <c r="W2" s="257"/>
      <c r="X2" s="257"/>
      <c r="Y2" s="257"/>
      <c r="Z2" s="257"/>
      <c r="AA2" s="257"/>
      <c r="AB2" s="257"/>
      <c r="AC2" s="257"/>
      <c r="AD2" s="257"/>
      <c r="AE2" s="257"/>
      <c r="AF2" s="257"/>
      <c r="AG2" s="257"/>
      <c r="AH2" s="257"/>
      <c r="AI2" s="257"/>
      <c r="AJ2" s="257"/>
      <c r="AK2" s="257"/>
      <c r="AL2" s="257"/>
      <c r="AM2" s="239"/>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58"/>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59"/>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28"/>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c r="AL4" s="260"/>
      <c r="AM4" s="232"/>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61" t="s">
        <v>92</v>
      </c>
      <c r="C6" s="257"/>
      <c r="D6" s="227"/>
      <c r="E6" s="246" t="s">
        <v>93</v>
      </c>
      <c r="F6" s="247"/>
      <c r="G6" s="247"/>
      <c r="H6" s="247"/>
      <c r="I6" s="233"/>
      <c r="J6" s="234" t="str">
        <f ca="1">IF(AND('Mapa final'!$L$10="Muy Alta",'Mapa final'!$AI$10="Leve"),CONCATENATE("R",'Mapa final'!$B$10),"")</f>
        <v/>
      </c>
      <c r="K6" s="231"/>
      <c r="L6" s="236" t="str">
        <f ca="1">IF(AND('Mapa final'!$L$12="Muy Alta",'Mapa final'!$AI$12="Leve"),CONCATENATE("R",'Mapa final'!$B$12),"")</f>
        <v/>
      </c>
      <c r="M6" s="231"/>
      <c r="N6" s="236" t="str">
        <f ca="1">IF(AND('Mapa final'!$L$14="Muy Alta",'Mapa final'!$AI$14="Leve"),CONCATENATE("R",'Mapa final'!$B$14),"")</f>
        <v/>
      </c>
      <c r="O6" s="233"/>
      <c r="P6" s="234" t="str">
        <f ca="1">IF(AND('Mapa final'!$L$10="Muy Alta",'Mapa final'!$AI$10="Menor"),CONCATENATE("R",'Mapa final'!$B$10),"")</f>
        <v/>
      </c>
      <c r="Q6" s="231"/>
      <c r="R6" s="236" t="str">
        <f ca="1">IF(AND('Mapa final'!$L$12="Muy Alta",'Mapa final'!$AI$12="Menor"),CONCATENATE("R",'Mapa final'!$B$12),"")</f>
        <v/>
      </c>
      <c r="S6" s="231"/>
      <c r="T6" s="236" t="str">
        <f ca="1">IF(AND('Mapa final'!$L$14="Muy Alta",'Mapa final'!$AI$14="Menor"),CONCATENATE("R",'Mapa final'!$B$14),"")</f>
        <v/>
      </c>
      <c r="U6" s="233"/>
      <c r="V6" s="234" t="str">
        <f ca="1">IF(AND('Mapa final'!$L$10="Muy Alta",'Mapa final'!$AI$10="Moderado"),CONCATENATE("R",'Mapa final'!$B$10),"")</f>
        <v>RDIRECCIONAMIENTO ESTRATÉGICO</v>
      </c>
      <c r="W6" s="231"/>
      <c r="X6" s="236" t="str">
        <f ca="1">IF(AND('Mapa final'!$L$12="Muy Alta",'Mapa final'!$AI$12="Moderado"),CONCATENATE("R",'Mapa final'!$B$12),"")</f>
        <v>RDIRECCIONAMIENTO ESTRATÉGICO</v>
      </c>
      <c r="Y6" s="231"/>
      <c r="Z6" s="236" t="str">
        <f ca="1">IF(AND('Mapa final'!$L$14="Muy Alta",'Mapa final'!$AI$14="Moderado"),CONCATENATE("R",'Mapa final'!$B$14),"")</f>
        <v/>
      </c>
      <c r="AA6" s="233"/>
      <c r="AB6" s="234" t="str">
        <f ca="1">IF(AND('Mapa final'!$L$10="Muy Alta",'Mapa final'!$AI$10="Mayor"),CONCATENATE("R",'Mapa final'!$B$10),"")</f>
        <v/>
      </c>
      <c r="AC6" s="231"/>
      <c r="AD6" s="236" t="str">
        <f ca="1">IF(AND('Mapa final'!$L$12="Muy Alta",'Mapa final'!$AI$12="Mayor"),CONCATENATE("R",'Mapa final'!$B$12),"")</f>
        <v/>
      </c>
      <c r="AE6" s="231"/>
      <c r="AF6" s="236" t="str">
        <f ca="1">IF(AND('Mapa final'!$L$14="Muy Alta",'Mapa final'!$AI$14="Mayor"),CONCATENATE("R",'Mapa final'!$B$14),"")</f>
        <v/>
      </c>
      <c r="AG6" s="233"/>
      <c r="AH6" s="253" t="str">
        <f ca="1">IF(AND('Mapa final'!$L$10="Muy Alta",'Mapa final'!$AI$10="Catastrófico"),CONCATENATE("R",'Mapa final'!$B$10),"")</f>
        <v/>
      </c>
      <c r="AI6" s="231"/>
      <c r="AJ6" s="237" t="str">
        <f ca="1">IF(AND('Mapa final'!$L$12="Muy Alta",'Mapa final'!$AI$12="Catastrófico"),CONCATENATE("R",'Mapa final'!$B$12),"")</f>
        <v/>
      </c>
      <c r="AK6" s="231"/>
      <c r="AL6" s="237" t="str">
        <f ca="1">IF(AND('Mapa final'!$L$14="Muy Alta",'Mapa final'!$AI$14="Catastrófico"),CONCATENATE("R",'Mapa final'!$B$14),"")</f>
        <v/>
      </c>
      <c r="AM6" s="233"/>
      <c r="AO6" s="264" t="s">
        <v>94</v>
      </c>
      <c r="AP6" s="265"/>
      <c r="AQ6" s="265"/>
      <c r="AR6" s="265"/>
      <c r="AS6" s="265"/>
      <c r="AT6" s="266"/>
      <c r="AU6" s="1"/>
      <c r="AV6" s="1"/>
      <c r="AW6" s="1"/>
      <c r="AX6" s="1"/>
      <c r="AY6" s="1"/>
      <c r="AZ6" s="1"/>
      <c r="BA6" s="1"/>
      <c r="BB6" s="1"/>
      <c r="BC6" s="1"/>
      <c r="BD6" s="1"/>
      <c r="BE6" s="1"/>
      <c r="BF6" s="1"/>
      <c r="BG6" s="1"/>
      <c r="BH6" s="1"/>
      <c r="BI6" s="1"/>
    </row>
    <row r="7" spans="1:61" ht="15" customHeight="1" x14ac:dyDescent="0.25">
      <c r="A7" s="1"/>
      <c r="B7" s="258"/>
      <c r="C7" s="170"/>
      <c r="D7" s="171"/>
      <c r="E7" s="182"/>
      <c r="F7" s="170"/>
      <c r="G7" s="170"/>
      <c r="H7" s="170"/>
      <c r="I7" s="171"/>
      <c r="J7" s="235"/>
      <c r="K7" s="232"/>
      <c r="L7" s="228"/>
      <c r="M7" s="232"/>
      <c r="N7" s="228"/>
      <c r="O7" s="229"/>
      <c r="P7" s="235"/>
      <c r="Q7" s="232"/>
      <c r="R7" s="228"/>
      <c r="S7" s="232"/>
      <c r="T7" s="228"/>
      <c r="U7" s="229"/>
      <c r="V7" s="235"/>
      <c r="W7" s="232"/>
      <c r="X7" s="228"/>
      <c r="Y7" s="232"/>
      <c r="Z7" s="228"/>
      <c r="AA7" s="229"/>
      <c r="AB7" s="235"/>
      <c r="AC7" s="232"/>
      <c r="AD7" s="228"/>
      <c r="AE7" s="232"/>
      <c r="AF7" s="228"/>
      <c r="AG7" s="229"/>
      <c r="AH7" s="235"/>
      <c r="AI7" s="232"/>
      <c r="AJ7" s="228"/>
      <c r="AK7" s="232"/>
      <c r="AL7" s="228"/>
      <c r="AM7" s="229"/>
      <c r="AN7" s="1"/>
      <c r="AO7" s="267"/>
      <c r="AP7" s="170"/>
      <c r="AQ7" s="170"/>
      <c r="AR7" s="170"/>
      <c r="AS7" s="170"/>
      <c r="AT7" s="268"/>
      <c r="AU7" s="1"/>
      <c r="AV7" s="1"/>
      <c r="AW7" s="1"/>
      <c r="AX7" s="1"/>
      <c r="AY7" s="1"/>
      <c r="AZ7" s="1"/>
      <c r="BA7" s="1"/>
      <c r="BB7" s="1"/>
      <c r="BC7" s="1"/>
      <c r="BD7" s="1"/>
      <c r="BE7" s="1"/>
      <c r="BF7" s="1"/>
      <c r="BG7" s="1"/>
      <c r="BH7" s="1"/>
      <c r="BI7" s="1"/>
    </row>
    <row r="8" spans="1:61" ht="15" customHeight="1" x14ac:dyDescent="0.25">
      <c r="A8" s="1"/>
      <c r="B8" s="258"/>
      <c r="C8" s="170"/>
      <c r="D8" s="171"/>
      <c r="E8" s="182"/>
      <c r="F8" s="170"/>
      <c r="G8" s="170"/>
      <c r="H8" s="170"/>
      <c r="I8" s="171"/>
      <c r="J8" s="241" t="str">
        <f ca="1">IF(AND('Mapa final'!$L$15="Muy Alta",'Mapa final'!$AI$15="Leve"),CONCATENATE("R",'Mapa final'!$B$15),"")</f>
        <v/>
      </c>
      <c r="K8" s="239"/>
      <c r="L8" s="242" t="str">
        <f ca="1">IF(AND('Mapa final'!$L$18="Muy Alta",'Mapa final'!$AI$18="Leve"),CONCATENATE("R",'Mapa final'!$B$18),"")</f>
        <v/>
      </c>
      <c r="M8" s="239"/>
      <c r="N8" s="242" t="str">
        <f ca="1">IF(AND('Mapa final'!$L$19="Muy Alta",'Mapa final'!$AI$19="Leve"),CONCATENATE("R",'Mapa final'!$B$19),"")</f>
        <v/>
      </c>
      <c r="O8" s="227"/>
      <c r="P8" s="241" t="str">
        <f ca="1">IF(AND('Mapa final'!$L$15="Muy Alta",'Mapa final'!$AI$15="Menor"),CONCATENATE("R",'Mapa final'!$B$15),"")</f>
        <v/>
      </c>
      <c r="Q8" s="239"/>
      <c r="R8" s="242" t="str">
        <f ca="1">IF(AND('Mapa final'!$L$18="Muy Alta",'Mapa final'!$AI$18="Menor"),CONCATENATE("R",'Mapa final'!$B$18),"")</f>
        <v/>
      </c>
      <c r="S8" s="239"/>
      <c r="T8" s="242" t="str">
        <f ca="1">IF(AND('Mapa final'!$L$19="Muy Alta",'Mapa final'!$AI$19="Menor"),CONCATENATE("R",'Mapa final'!$B$19),"")</f>
        <v/>
      </c>
      <c r="U8" s="227"/>
      <c r="V8" s="241" t="str">
        <f ca="1">IF(AND('Mapa final'!$L$15="Muy Alta",'Mapa final'!$AI$15="Moderado"),CONCATENATE("R",'Mapa final'!$B$15),"")</f>
        <v/>
      </c>
      <c r="W8" s="239"/>
      <c r="X8" s="242" t="str">
        <f ca="1">IF(AND('Mapa final'!$L$18="Muy Alta",'Mapa final'!$AI$18="Moderado"),CONCATENATE("R",'Mapa final'!$B$18),"")</f>
        <v/>
      </c>
      <c r="Y8" s="239"/>
      <c r="Z8" s="242" t="str">
        <f ca="1">IF(AND('Mapa final'!$L$19="Muy Alta",'Mapa final'!$AI$19="Moderado"),CONCATENATE("R",'Mapa final'!$B$19),"")</f>
        <v/>
      </c>
      <c r="AA8" s="227"/>
      <c r="AB8" s="241" t="str">
        <f ca="1">IF(AND('Mapa final'!$L$15="Muy Alta",'Mapa final'!$AI$15="Mayor"),CONCATENATE("R",'Mapa final'!$B$15),"")</f>
        <v/>
      </c>
      <c r="AC8" s="239"/>
      <c r="AD8" s="242" t="str">
        <f ca="1">IF(AND('Mapa final'!$L$18="Muy Alta",'Mapa final'!$AI$18="Mayor"),CONCATENATE("R",'Mapa final'!$B$18),"")</f>
        <v/>
      </c>
      <c r="AE8" s="239"/>
      <c r="AF8" s="242" t="str">
        <f ca="1">IF(AND('Mapa final'!$L$19="Muy Alta",'Mapa final'!$AI$19="Mayor"),CONCATENATE("R",'Mapa final'!$B$19),"")</f>
        <v/>
      </c>
      <c r="AG8" s="227"/>
      <c r="AH8" s="243" t="str">
        <f ca="1">IF(AND('Mapa final'!$L$15="Muy Alta",'Mapa final'!$AI$15="Catastrófico"),CONCATENATE("R",'Mapa final'!$B$15),"")</f>
        <v/>
      </c>
      <c r="AI8" s="239"/>
      <c r="AJ8" s="244" t="str">
        <f ca="1">IF(AND('Mapa final'!$L$18="Muy Alta",'Mapa final'!$AI$18="Catastrófico"),CONCATENATE("R",'Mapa final'!$B$18),"")</f>
        <v/>
      </c>
      <c r="AK8" s="239"/>
      <c r="AL8" s="244" t="str">
        <f ca="1">IF(AND('Mapa final'!$L$19="Muy Alta",'Mapa final'!$AI$19="Catastrófico"),CONCATENATE("R",'Mapa final'!$B$19),"")</f>
        <v/>
      </c>
      <c r="AM8" s="227"/>
      <c r="AN8" s="1"/>
      <c r="AO8" s="267"/>
      <c r="AP8" s="170"/>
      <c r="AQ8" s="170"/>
      <c r="AR8" s="170"/>
      <c r="AS8" s="170"/>
      <c r="AT8" s="268"/>
      <c r="AU8" s="1"/>
      <c r="AV8" s="1"/>
      <c r="AW8" s="1"/>
      <c r="AX8" s="1"/>
      <c r="AY8" s="1"/>
      <c r="AZ8" s="1"/>
      <c r="BA8" s="1"/>
      <c r="BB8" s="1"/>
      <c r="BC8" s="1"/>
      <c r="BD8" s="1"/>
      <c r="BE8" s="1"/>
      <c r="BF8" s="1"/>
      <c r="BG8" s="1"/>
      <c r="BH8" s="1"/>
      <c r="BI8" s="1"/>
    </row>
    <row r="9" spans="1:61" ht="15" customHeight="1" x14ac:dyDescent="0.25">
      <c r="A9" s="1"/>
      <c r="B9" s="258"/>
      <c r="C9" s="170"/>
      <c r="D9" s="171"/>
      <c r="E9" s="182"/>
      <c r="F9" s="170"/>
      <c r="G9" s="170"/>
      <c r="H9" s="170"/>
      <c r="I9" s="171"/>
      <c r="J9" s="235"/>
      <c r="K9" s="232"/>
      <c r="L9" s="228"/>
      <c r="M9" s="232"/>
      <c r="N9" s="228"/>
      <c r="O9" s="229"/>
      <c r="P9" s="235"/>
      <c r="Q9" s="232"/>
      <c r="R9" s="228"/>
      <c r="S9" s="232"/>
      <c r="T9" s="228"/>
      <c r="U9" s="229"/>
      <c r="V9" s="235"/>
      <c r="W9" s="232"/>
      <c r="X9" s="228"/>
      <c r="Y9" s="232"/>
      <c r="Z9" s="228"/>
      <c r="AA9" s="229"/>
      <c r="AB9" s="235"/>
      <c r="AC9" s="232"/>
      <c r="AD9" s="228"/>
      <c r="AE9" s="232"/>
      <c r="AF9" s="228"/>
      <c r="AG9" s="229"/>
      <c r="AH9" s="235"/>
      <c r="AI9" s="232"/>
      <c r="AJ9" s="228"/>
      <c r="AK9" s="232"/>
      <c r="AL9" s="228"/>
      <c r="AM9" s="229"/>
      <c r="AN9" s="1"/>
      <c r="AO9" s="267"/>
      <c r="AP9" s="170"/>
      <c r="AQ9" s="170"/>
      <c r="AR9" s="170"/>
      <c r="AS9" s="170"/>
      <c r="AT9" s="268"/>
      <c r="AU9" s="1"/>
      <c r="AV9" s="1"/>
      <c r="AW9" s="1"/>
      <c r="AX9" s="1"/>
      <c r="AY9" s="1"/>
      <c r="AZ9" s="1"/>
      <c r="BA9" s="1"/>
      <c r="BB9" s="1"/>
      <c r="BC9" s="1"/>
      <c r="BD9" s="1"/>
      <c r="BE9" s="1"/>
      <c r="BF9" s="1"/>
      <c r="BG9" s="1"/>
      <c r="BH9" s="1"/>
      <c r="BI9" s="1"/>
    </row>
    <row r="10" spans="1:61" ht="15" customHeight="1" x14ac:dyDescent="0.25">
      <c r="A10" s="1"/>
      <c r="B10" s="258"/>
      <c r="C10" s="170"/>
      <c r="D10" s="171"/>
      <c r="E10" s="182"/>
      <c r="F10" s="170"/>
      <c r="G10" s="170"/>
      <c r="H10" s="170"/>
      <c r="I10" s="171"/>
      <c r="J10" s="241" t="str">
        <f ca="1">IF(AND('Mapa final'!$L$21="Muy Alta",'Mapa final'!$AI$21="Leve"),CONCATENATE("R",'Mapa final'!$B$21),"")</f>
        <v/>
      </c>
      <c r="K10" s="239"/>
      <c r="L10" s="242" t="str">
        <f ca="1">IF(AND('Mapa final'!$L$23="Muy Alta",'Mapa final'!$AI$23="Leve"),CONCATENATE("R",'Mapa final'!$B$23),"")</f>
        <v/>
      </c>
      <c r="M10" s="239"/>
      <c r="N10" s="242" t="str">
        <f ca="1">IF(AND('Mapa final'!$L$24="Muy Alta",'Mapa final'!$AI$24="Leve"),CONCATENATE("R",'Mapa final'!$B$24),"")</f>
        <v/>
      </c>
      <c r="O10" s="227"/>
      <c r="P10" s="241" t="str">
        <f ca="1">IF(AND('Mapa final'!$L$21="Muy Alta",'Mapa final'!$AI$21="Menor"),CONCATENATE("R",'Mapa final'!$B$21),"")</f>
        <v/>
      </c>
      <c r="Q10" s="239"/>
      <c r="R10" s="242" t="str">
        <f ca="1">IF(AND('Mapa final'!$L$23="Muy Alta",'Mapa final'!$AI$23="Menor"),CONCATENATE("R",'Mapa final'!$B$23),"")</f>
        <v/>
      </c>
      <c r="S10" s="239"/>
      <c r="T10" s="242" t="str">
        <f ca="1">IF(AND('Mapa final'!$L$24="Muy Alta",'Mapa final'!$AI$24="Menor"),CONCATENATE("R",'Mapa final'!$B$24),"")</f>
        <v/>
      </c>
      <c r="U10" s="227"/>
      <c r="V10" s="241" t="str">
        <f ca="1">IF(AND('Mapa final'!$L$21="Muy Alta",'Mapa final'!$AI$21="Moderado"),CONCATENATE("R",'Mapa final'!$B$21),"")</f>
        <v/>
      </c>
      <c r="W10" s="239"/>
      <c r="X10" s="242" t="str">
        <f ca="1">IF(AND('Mapa final'!$L$23="Muy Alta",'Mapa final'!$AI$23="Moderado"),CONCATENATE("R",'Mapa final'!$B$23),"")</f>
        <v/>
      </c>
      <c r="Y10" s="239"/>
      <c r="Z10" s="242" t="str">
        <f ca="1">IF(AND('Mapa final'!$L$24="Muy Alta",'Mapa final'!$AI$24="Moderado"),CONCATENATE("R",'Mapa final'!$B$24),"")</f>
        <v/>
      </c>
      <c r="AA10" s="227"/>
      <c r="AB10" s="241" t="str">
        <f ca="1">IF(AND('Mapa final'!$L$21="Muy Alta",'Mapa final'!$AI$21="Mayor"),CONCATENATE("R",'Mapa final'!$B$21),"")</f>
        <v/>
      </c>
      <c r="AC10" s="239"/>
      <c r="AD10" s="242" t="str">
        <f ca="1">IF(AND('Mapa final'!$L$23="Muy Alta",'Mapa final'!$AI$23="Mayor"),CONCATENATE("R",'Mapa final'!$B$23),"")</f>
        <v/>
      </c>
      <c r="AE10" s="239"/>
      <c r="AF10" s="242" t="str">
        <f ca="1">IF(AND('Mapa final'!$L$24="Muy Alta",'Mapa final'!$AI$24="Mayor"),CONCATENATE("R",'Mapa final'!$B$24),"")</f>
        <v/>
      </c>
      <c r="AG10" s="227"/>
      <c r="AH10" s="243" t="str">
        <f ca="1">IF(AND('Mapa final'!$L$21="Muy Alta",'Mapa final'!$AI$21="Catastrófico"),CONCATENATE("R",'Mapa final'!$B$21),"")</f>
        <v/>
      </c>
      <c r="AI10" s="239"/>
      <c r="AJ10" s="244" t="str">
        <f ca="1">IF(AND('Mapa final'!$L$23="Muy Alta",'Mapa final'!$AI$23="Catastrófico"),CONCATENATE("R",'Mapa final'!$B$23),"")</f>
        <v/>
      </c>
      <c r="AK10" s="239"/>
      <c r="AL10" s="244" t="str">
        <f ca="1">IF(AND('Mapa final'!$L$24="Muy Alta",'Mapa final'!$AI$24="Catastrófico"),CONCATENATE("R",'Mapa final'!$B$24),"")</f>
        <v/>
      </c>
      <c r="AM10" s="227"/>
      <c r="AN10" s="1"/>
      <c r="AO10" s="267"/>
      <c r="AP10" s="170"/>
      <c r="AQ10" s="170"/>
      <c r="AR10" s="170"/>
      <c r="AS10" s="170"/>
      <c r="AT10" s="268"/>
      <c r="AU10" s="1"/>
      <c r="AV10" s="1"/>
      <c r="AW10" s="1"/>
      <c r="AX10" s="1"/>
      <c r="AY10" s="1"/>
      <c r="AZ10" s="1"/>
      <c r="BA10" s="1"/>
      <c r="BB10" s="1"/>
      <c r="BC10" s="1"/>
      <c r="BD10" s="1"/>
      <c r="BE10" s="1"/>
      <c r="BF10" s="1"/>
      <c r="BG10" s="1"/>
      <c r="BH10" s="1"/>
      <c r="BI10" s="1"/>
    </row>
    <row r="11" spans="1:61" ht="15" customHeight="1" x14ac:dyDescent="0.25">
      <c r="A11" s="1"/>
      <c r="B11" s="258"/>
      <c r="C11" s="170"/>
      <c r="D11" s="171"/>
      <c r="E11" s="182"/>
      <c r="F11" s="170"/>
      <c r="G11" s="170"/>
      <c r="H11" s="170"/>
      <c r="I11" s="171"/>
      <c r="J11" s="235"/>
      <c r="K11" s="232"/>
      <c r="L11" s="228"/>
      <c r="M11" s="232"/>
      <c r="N11" s="228"/>
      <c r="O11" s="229"/>
      <c r="P11" s="235"/>
      <c r="Q11" s="232"/>
      <c r="R11" s="228"/>
      <c r="S11" s="232"/>
      <c r="T11" s="228"/>
      <c r="U11" s="229"/>
      <c r="V11" s="235"/>
      <c r="W11" s="232"/>
      <c r="X11" s="228"/>
      <c r="Y11" s="232"/>
      <c r="Z11" s="228"/>
      <c r="AA11" s="229"/>
      <c r="AB11" s="235"/>
      <c r="AC11" s="232"/>
      <c r="AD11" s="228"/>
      <c r="AE11" s="232"/>
      <c r="AF11" s="228"/>
      <c r="AG11" s="229"/>
      <c r="AH11" s="235"/>
      <c r="AI11" s="232"/>
      <c r="AJ11" s="228"/>
      <c r="AK11" s="232"/>
      <c r="AL11" s="228"/>
      <c r="AM11" s="229"/>
      <c r="AN11" s="1"/>
      <c r="AO11" s="267"/>
      <c r="AP11" s="170"/>
      <c r="AQ11" s="170"/>
      <c r="AR11" s="170"/>
      <c r="AS11" s="170"/>
      <c r="AT11" s="268"/>
      <c r="AU11" s="1"/>
      <c r="AV11" s="1"/>
      <c r="AW11" s="1"/>
      <c r="AX11" s="1"/>
      <c r="AY11" s="1"/>
      <c r="AZ11" s="1"/>
      <c r="BA11" s="1"/>
      <c r="BB11" s="1"/>
      <c r="BC11" s="1"/>
      <c r="BD11" s="1"/>
      <c r="BE11" s="1"/>
      <c r="BF11" s="1"/>
      <c r="BG11" s="1"/>
      <c r="BH11" s="1"/>
      <c r="BI11" s="1"/>
    </row>
    <row r="12" spans="1:61" ht="15" customHeight="1" x14ac:dyDescent="0.25">
      <c r="A12" s="1"/>
      <c r="B12" s="258"/>
      <c r="C12" s="170"/>
      <c r="D12" s="171"/>
      <c r="E12" s="182"/>
      <c r="F12" s="170"/>
      <c r="G12" s="170"/>
      <c r="H12" s="170"/>
      <c r="I12" s="171"/>
      <c r="J12" s="241" t="str">
        <f ca="1">IF(AND('Mapa final'!$L$25="Muy Alta",'Mapa final'!$AI$25="Leve"),CONCATENATE("R",'Mapa final'!$B$25),"")</f>
        <v/>
      </c>
      <c r="K12" s="239"/>
      <c r="L12" s="242" t="str">
        <f>IF(AND('Mapa final'!$L$120="Muy Alta",'Mapa final'!$AI$120="Leve"),CONCATENATE("R",'Mapa final'!$B$120),"")</f>
        <v/>
      </c>
      <c r="M12" s="239"/>
      <c r="N12" s="242" t="str">
        <f>IF(AND('Mapa final'!$L$126="Muy Alta",'Mapa final'!$AI$126="Leve"),CONCATENATE("R",'Mapa final'!$B$126),"")</f>
        <v/>
      </c>
      <c r="O12" s="227"/>
      <c r="P12" s="241" t="str">
        <f ca="1">IF(AND('Mapa final'!$L$25="Muy Alta",'Mapa final'!$AI$25="Menor"),CONCATENATE("R",'Mapa final'!$B$25),"")</f>
        <v/>
      </c>
      <c r="Q12" s="239"/>
      <c r="R12" s="242" t="str">
        <f>IF(AND('Mapa final'!$L$120="Muy Alta",'Mapa final'!$AI$120="Menor"),CONCATENATE("R",'Mapa final'!$B$120),"")</f>
        <v/>
      </c>
      <c r="S12" s="239"/>
      <c r="T12" s="242" t="str">
        <f>IF(AND('Mapa final'!$L$126="Muy Alta",'Mapa final'!$AI$126="Menor"),CONCATENATE("R",'Mapa final'!$B$126),"")</f>
        <v/>
      </c>
      <c r="U12" s="227"/>
      <c r="V12" s="241" t="str">
        <f ca="1">IF(AND('Mapa final'!$L$25="Muy Alta",'Mapa final'!$AI$25="Moderado"),CONCATENATE("R",'Mapa final'!$B$25),"")</f>
        <v/>
      </c>
      <c r="W12" s="239"/>
      <c r="X12" s="242" t="str">
        <f>IF(AND('Mapa final'!$L$120="Muy Alta",'Mapa final'!$AI$120="Moderado"),CONCATENATE("R",'Mapa final'!$B$120),"")</f>
        <v/>
      </c>
      <c r="Y12" s="239"/>
      <c r="Z12" s="242" t="str">
        <f>IF(AND('Mapa final'!$L$126="Muy Alta",'Mapa final'!$AI$126="Moderado"),CONCATENATE("R",'Mapa final'!$B$126),"")</f>
        <v/>
      </c>
      <c r="AA12" s="227"/>
      <c r="AB12" s="241" t="str">
        <f ca="1">IF(AND('Mapa final'!$L$25="Muy Alta",'Mapa final'!$AI$25="Mayor"),CONCATENATE("R",'Mapa final'!$B$25),"")</f>
        <v/>
      </c>
      <c r="AC12" s="239"/>
      <c r="AD12" s="242" t="str">
        <f>IF(AND('Mapa final'!$L$120="Muy Alta",'Mapa final'!$AI$120="Mayor"),CONCATENATE("R",'Mapa final'!$B$120),"")</f>
        <v/>
      </c>
      <c r="AE12" s="239"/>
      <c r="AF12" s="242" t="str">
        <f>IF(AND('Mapa final'!$L$126="Muy Alta",'Mapa final'!$AI$126="Mayor"),CONCATENATE("R",'Mapa final'!$B$126),"")</f>
        <v/>
      </c>
      <c r="AG12" s="227"/>
      <c r="AH12" s="243" t="str">
        <f ca="1">IF(AND('Mapa final'!$L$25="Muy Alta",'Mapa final'!$AI$25="Catastrófico"),CONCATENATE("R",'Mapa final'!$B$25),"")</f>
        <v/>
      </c>
      <c r="AI12" s="239"/>
      <c r="AJ12" s="244" t="str">
        <f>IF(AND('Mapa final'!$L$120="Muy Alta",'Mapa final'!$AI$120="Catastrófico"),CONCATENATE("R",'Mapa final'!$B$120),"")</f>
        <v/>
      </c>
      <c r="AK12" s="239"/>
      <c r="AL12" s="244" t="str">
        <f>IF(AND('Mapa final'!$L$126="Muy Alta",'Mapa final'!$AI$126="Catastrófico"),CONCATENATE("R",'Mapa final'!$B$126),"")</f>
        <v/>
      </c>
      <c r="AM12" s="227"/>
      <c r="AN12" s="1"/>
      <c r="AO12" s="267"/>
      <c r="AP12" s="170"/>
      <c r="AQ12" s="170"/>
      <c r="AR12" s="170"/>
      <c r="AS12" s="170"/>
      <c r="AT12" s="268"/>
      <c r="AU12" s="1"/>
      <c r="AV12" s="1"/>
      <c r="AW12" s="1"/>
      <c r="AX12" s="1"/>
      <c r="AY12" s="1"/>
      <c r="AZ12" s="1"/>
      <c r="BA12" s="1"/>
      <c r="BB12" s="1"/>
      <c r="BC12" s="1"/>
      <c r="BD12" s="1"/>
      <c r="BE12" s="1"/>
      <c r="BF12" s="1"/>
      <c r="BG12" s="1"/>
      <c r="BH12" s="1"/>
      <c r="BI12" s="1"/>
    </row>
    <row r="13" spans="1:61" ht="15.75" customHeight="1" x14ac:dyDescent="0.25">
      <c r="A13" s="1"/>
      <c r="B13" s="258"/>
      <c r="C13" s="170"/>
      <c r="D13" s="171"/>
      <c r="E13" s="248"/>
      <c r="F13" s="249"/>
      <c r="G13" s="249"/>
      <c r="H13" s="249"/>
      <c r="I13" s="252"/>
      <c r="J13" s="235"/>
      <c r="K13" s="232"/>
      <c r="L13" s="228"/>
      <c r="M13" s="232"/>
      <c r="N13" s="228"/>
      <c r="O13" s="229"/>
      <c r="P13" s="235"/>
      <c r="Q13" s="232"/>
      <c r="R13" s="228"/>
      <c r="S13" s="232"/>
      <c r="T13" s="228"/>
      <c r="U13" s="229"/>
      <c r="V13" s="235"/>
      <c r="W13" s="232"/>
      <c r="X13" s="228"/>
      <c r="Y13" s="232"/>
      <c r="Z13" s="228"/>
      <c r="AA13" s="229"/>
      <c r="AB13" s="235"/>
      <c r="AC13" s="232"/>
      <c r="AD13" s="228"/>
      <c r="AE13" s="232"/>
      <c r="AF13" s="228"/>
      <c r="AG13" s="229"/>
      <c r="AH13" s="248"/>
      <c r="AI13" s="250"/>
      <c r="AJ13" s="251"/>
      <c r="AK13" s="250"/>
      <c r="AL13" s="251"/>
      <c r="AM13" s="252"/>
      <c r="AN13" s="1"/>
      <c r="AO13" s="269"/>
      <c r="AP13" s="270"/>
      <c r="AQ13" s="270"/>
      <c r="AR13" s="270"/>
      <c r="AS13" s="270"/>
      <c r="AT13" s="271"/>
      <c r="AU13" s="1"/>
      <c r="AV13" s="1"/>
      <c r="AW13" s="1"/>
      <c r="AX13" s="1"/>
      <c r="AY13" s="1"/>
      <c r="AZ13" s="1"/>
      <c r="BA13" s="1"/>
      <c r="BB13" s="1"/>
      <c r="BC13" s="1"/>
      <c r="BD13" s="1"/>
      <c r="BE13" s="1"/>
      <c r="BF13" s="1"/>
      <c r="BG13" s="1"/>
      <c r="BH13" s="1"/>
      <c r="BI13" s="1"/>
    </row>
    <row r="14" spans="1:61" ht="15" customHeight="1" x14ac:dyDescent="0.25">
      <c r="A14" s="1"/>
      <c r="B14" s="258"/>
      <c r="C14" s="170"/>
      <c r="D14" s="171"/>
      <c r="E14" s="246" t="s">
        <v>95</v>
      </c>
      <c r="F14" s="247"/>
      <c r="G14" s="247"/>
      <c r="H14" s="247"/>
      <c r="I14" s="247"/>
      <c r="J14" s="245" t="str">
        <f ca="1">IF(AND('Mapa final'!$L$10="Alta",'Mapa final'!$AI$10="Leve"),CONCATENATE("R",'Mapa final'!$B$10),"")</f>
        <v/>
      </c>
      <c r="K14" s="231"/>
      <c r="L14" s="230" t="str">
        <f ca="1">IF(AND('Mapa final'!$L$12="Alta",'Mapa final'!$AI$12="Leve"),CONCATENATE("R",'Mapa final'!$B$12),"")</f>
        <v/>
      </c>
      <c r="M14" s="231"/>
      <c r="N14" s="230" t="str">
        <f ca="1">IF(AND('Mapa final'!$L$14="Alta",'Mapa final'!$AI$14="Leve"),CONCATENATE("R",'Mapa final'!$B$14),"")</f>
        <v/>
      </c>
      <c r="O14" s="233"/>
      <c r="P14" s="245" t="str">
        <f ca="1">IF(AND('Mapa final'!$L$10="Alta",'Mapa final'!$AI$10="Menor"),CONCATENATE("R",'Mapa final'!$B$10),"")</f>
        <v/>
      </c>
      <c r="Q14" s="231"/>
      <c r="R14" s="230" t="str">
        <f ca="1">IF(AND('Mapa final'!$L$12="Alta",'Mapa final'!$AI$12="Menor"),CONCATENATE("R",'Mapa final'!$B$12),"")</f>
        <v/>
      </c>
      <c r="S14" s="231"/>
      <c r="T14" s="230" t="str">
        <f ca="1">IF(AND('Mapa final'!$L$14="Alta",'Mapa final'!$AI$14="Menor"),CONCATENATE("R",'Mapa final'!$B$14),"")</f>
        <v/>
      </c>
      <c r="U14" s="233"/>
      <c r="V14" s="234" t="str">
        <f ca="1">IF(AND('Mapa final'!$L$10="Alta",'Mapa final'!$AI$10="Moderado"),CONCATENATE("R",'Mapa final'!$B$10),"")</f>
        <v/>
      </c>
      <c r="W14" s="231"/>
      <c r="X14" s="236" t="str">
        <f ca="1">IF(AND('Mapa final'!$L$12="Alta",'Mapa final'!$AI$12="Moderado"),CONCATENATE("R",'Mapa final'!$B$12),"")</f>
        <v/>
      </c>
      <c r="Y14" s="231"/>
      <c r="Z14" s="236" t="str">
        <f ca="1">IF(AND('Mapa final'!$L$14="Alta",'Mapa final'!$AI$14="Moderado"),CONCATENATE("R",'Mapa final'!$B$14),"")</f>
        <v/>
      </c>
      <c r="AA14" s="233"/>
      <c r="AB14" s="234" t="str">
        <f ca="1">IF(AND('Mapa final'!$L$10="Alta",'Mapa final'!$AI$10="Mayor"),CONCATENATE("R",'Mapa final'!$B$10),"")</f>
        <v/>
      </c>
      <c r="AC14" s="231"/>
      <c r="AD14" s="236" t="str">
        <f ca="1">IF(AND('Mapa final'!$L$12="Alta",'Mapa final'!$AI$12="Mayor"),CONCATENATE("R",'Mapa final'!$B$12),"")</f>
        <v/>
      </c>
      <c r="AE14" s="231"/>
      <c r="AF14" s="236" t="str">
        <f ca="1">IF(AND('Mapa final'!$L$14="Alta",'Mapa final'!$AI$14="Mayor"),CONCATENATE("R",'Mapa final'!$B$14),"")</f>
        <v/>
      </c>
      <c r="AG14" s="233"/>
      <c r="AH14" s="253" t="str">
        <f ca="1">IF(AND('Mapa final'!$L$10="Alta",'Mapa final'!$AI$10="Catastrófico"),CONCATENATE("R",'Mapa final'!$B$10),"")</f>
        <v/>
      </c>
      <c r="AI14" s="231"/>
      <c r="AJ14" s="237" t="str">
        <f ca="1">IF(AND('Mapa final'!$L$12="Alta",'Mapa final'!$AI$12="Catastrófico"),CONCATENATE("R",'Mapa final'!$B$12),"")</f>
        <v/>
      </c>
      <c r="AK14" s="231"/>
      <c r="AL14" s="237" t="str">
        <f ca="1">IF(AND('Mapa final'!$L$14="Alta",'Mapa final'!$AI$14="Catastrófico"),CONCATENATE("R",'Mapa final'!$B$14),"")</f>
        <v/>
      </c>
      <c r="AM14" s="233"/>
      <c r="AN14" s="1"/>
      <c r="AO14" s="273" t="s">
        <v>96</v>
      </c>
      <c r="AP14" s="265"/>
      <c r="AQ14" s="265"/>
      <c r="AR14" s="265"/>
      <c r="AS14" s="265"/>
      <c r="AT14" s="266"/>
      <c r="AU14" s="1"/>
      <c r="AV14" s="1"/>
      <c r="AW14" s="1"/>
      <c r="AX14" s="1"/>
      <c r="AY14" s="1"/>
      <c r="AZ14" s="1"/>
      <c r="BA14" s="1"/>
      <c r="BB14" s="1"/>
      <c r="BC14" s="1"/>
      <c r="BD14" s="1"/>
      <c r="BE14" s="1"/>
      <c r="BF14" s="1"/>
      <c r="BG14" s="1"/>
      <c r="BH14" s="1"/>
      <c r="BI14" s="1"/>
    </row>
    <row r="15" spans="1:61" ht="15" customHeight="1" x14ac:dyDescent="0.25">
      <c r="A15" s="1"/>
      <c r="B15" s="258"/>
      <c r="C15" s="170"/>
      <c r="D15" s="171"/>
      <c r="E15" s="182"/>
      <c r="F15" s="170"/>
      <c r="G15" s="170"/>
      <c r="H15" s="170"/>
      <c r="I15" s="170"/>
      <c r="J15" s="235"/>
      <c r="K15" s="232"/>
      <c r="L15" s="228"/>
      <c r="M15" s="232"/>
      <c r="N15" s="228"/>
      <c r="O15" s="229"/>
      <c r="P15" s="235"/>
      <c r="Q15" s="232"/>
      <c r="R15" s="228"/>
      <c r="S15" s="232"/>
      <c r="T15" s="228"/>
      <c r="U15" s="229"/>
      <c r="V15" s="235"/>
      <c r="W15" s="232"/>
      <c r="X15" s="228"/>
      <c r="Y15" s="232"/>
      <c r="Z15" s="228"/>
      <c r="AA15" s="229"/>
      <c r="AB15" s="235"/>
      <c r="AC15" s="232"/>
      <c r="AD15" s="228"/>
      <c r="AE15" s="232"/>
      <c r="AF15" s="228"/>
      <c r="AG15" s="229"/>
      <c r="AH15" s="235"/>
      <c r="AI15" s="232"/>
      <c r="AJ15" s="228"/>
      <c r="AK15" s="232"/>
      <c r="AL15" s="228"/>
      <c r="AM15" s="229"/>
      <c r="AN15" s="1"/>
      <c r="AO15" s="267"/>
      <c r="AP15" s="170"/>
      <c r="AQ15" s="170"/>
      <c r="AR15" s="170"/>
      <c r="AS15" s="170"/>
      <c r="AT15" s="268"/>
      <c r="AU15" s="1"/>
      <c r="AV15" s="1"/>
      <c r="AW15" s="1"/>
      <c r="AX15" s="1"/>
      <c r="AY15" s="1"/>
      <c r="AZ15" s="1"/>
      <c r="BA15" s="1"/>
      <c r="BB15" s="1"/>
      <c r="BC15" s="1"/>
      <c r="BD15" s="1"/>
      <c r="BE15" s="1"/>
      <c r="BF15" s="1"/>
      <c r="BG15" s="1"/>
      <c r="BH15" s="1"/>
      <c r="BI15" s="1"/>
    </row>
    <row r="16" spans="1:61" ht="15" customHeight="1" x14ac:dyDescent="0.25">
      <c r="A16" s="1"/>
      <c r="B16" s="258"/>
      <c r="C16" s="170"/>
      <c r="D16" s="171"/>
      <c r="E16" s="182"/>
      <c r="F16" s="170"/>
      <c r="G16" s="170"/>
      <c r="H16" s="170"/>
      <c r="I16" s="170"/>
      <c r="J16" s="240" t="str">
        <f ca="1">IF(AND('Mapa final'!$L$15="Alta",'Mapa final'!$AI$15="Leve"),CONCATENATE("R",'Mapa final'!$B$15),"")</f>
        <v/>
      </c>
      <c r="K16" s="239"/>
      <c r="L16" s="226" t="str">
        <f ca="1">IF(AND('Mapa final'!$L$18="Alta",'Mapa final'!$AI$18="Leve"),CONCATENATE("R",'Mapa final'!$B$18),"")</f>
        <v/>
      </c>
      <c r="M16" s="239"/>
      <c r="N16" s="226" t="str">
        <f ca="1">IF(AND('Mapa final'!$L$19="Alta",'Mapa final'!$AI$19="Leve"),CONCATENATE("R",'Mapa final'!$B$19),"")</f>
        <v/>
      </c>
      <c r="O16" s="227"/>
      <c r="P16" s="240" t="str">
        <f ca="1">IF(AND('Mapa final'!$L$15="Alta",'Mapa final'!$AI$15="Menor"),CONCATENATE("R",'Mapa final'!$B$15),"")</f>
        <v/>
      </c>
      <c r="Q16" s="239"/>
      <c r="R16" s="226" t="str">
        <f ca="1">IF(AND('Mapa final'!$L$18="Alta",'Mapa final'!$AI$18="Menor"),CONCATENATE("R",'Mapa final'!$B$18),"")</f>
        <v/>
      </c>
      <c r="S16" s="239"/>
      <c r="T16" s="226" t="str">
        <f ca="1">IF(AND('Mapa final'!$L$19="Alta",'Mapa final'!$AI$19="Menor"),CONCATENATE("R",'Mapa final'!$B$19),"")</f>
        <v/>
      </c>
      <c r="U16" s="227"/>
      <c r="V16" s="241" t="str">
        <f ca="1">IF(AND('Mapa final'!$L$15="Alta",'Mapa final'!$AI$15="Moderado"),CONCATENATE("R",'Mapa final'!$B$15),"")</f>
        <v/>
      </c>
      <c r="W16" s="239"/>
      <c r="X16" s="242" t="str">
        <f ca="1">IF(AND('Mapa final'!$L$18="Alta",'Mapa final'!$AI$18="Moderado"),CONCATENATE("R",'Mapa final'!$B$18),"")</f>
        <v/>
      </c>
      <c r="Y16" s="239"/>
      <c r="Z16" s="242" t="str">
        <f ca="1">IF(AND('Mapa final'!$L$19="Alta",'Mapa final'!$AI$19="Moderado"),CONCATENATE("R",'Mapa final'!$B$19),"")</f>
        <v/>
      </c>
      <c r="AA16" s="227"/>
      <c r="AB16" s="241" t="str">
        <f ca="1">IF(AND('Mapa final'!$L$15="Alta",'Mapa final'!$AI$15="Mayor"),CONCATENATE("R",'Mapa final'!$B$15),"")</f>
        <v/>
      </c>
      <c r="AC16" s="239"/>
      <c r="AD16" s="242" t="str">
        <f ca="1">IF(AND('Mapa final'!$L$18="Alta",'Mapa final'!$AI$18="Mayor"),CONCATENATE("R",'Mapa final'!$B$18),"")</f>
        <v/>
      </c>
      <c r="AE16" s="239"/>
      <c r="AF16" s="242" t="str">
        <f ca="1">IF(AND('Mapa final'!$L$19="Alta",'Mapa final'!$AI$19="Mayor"),CONCATENATE("R",'Mapa final'!$B$19),"")</f>
        <v/>
      </c>
      <c r="AG16" s="227"/>
      <c r="AH16" s="243" t="str">
        <f ca="1">IF(AND('Mapa final'!$L$15="Alta",'Mapa final'!$AI$15="Catastrófico"),CONCATENATE("R",'Mapa final'!$B$15),"")</f>
        <v/>
      </c>
      <c r="AI16" s="239"/>
      <c r="AJ16" s="244" t="str">
        <f ca="1">IF(AND('Mapa final'!$L$18="Alta",'Mapa final'!$AI$18="Catastrófico"),CONCATENATE("R",'Mapa final'!$B$18),"")</f>
        <v/>
      </c>
      <c r="AK16" s="239"/>
      <c r="AL16" s="244" t="str">
        <f ca="1">IF(AND('Mapa final'!$L$19="Alta",'Mapa final'!$AI$19="Catastrófico"),CONCATENATE("R",'Mapa final'!$B$19),"")</f>
        <v/>
      </c>
      <c r="AM16" s="227"/>
      <c r="AN16" s="1"/>
      <c r="AO16" s="267"/>
      <c r="AP16" s="170"/>
      <c r="AQ16" s="170"/>
      <c r="AR16" s="170"/>
      <c r="AS16" s="170"/>
      <c r="AT16" s="268"/>
      <c r="AU16" s="1"/>
      <c r="AV16" s="1"/>
      <c r="AW16" s="1"/>
      <c r="AX16" s="1"/>
      <c r="AY16" s="1"/>
      <c r="AZ16" s="1"/>
      <c r="BA16" s="1"/>
      <c r="BB16" s="1"/>
      <c r="BC16" s="1"/>
      <c r="BD16" s="1"/>
      <c r="BE16" s="1"/>
      <c r="BF16" s="1"/>
      <c r="BG16" s="1"/>
      <c r="BH16" s="1"/>
      <c r="BI16" s="1"/>
    </row>
    <row r="17" spans="1:61" ht="15" customHeight="1" x14ac:dyDescent="0.25">
      <c r="A17" s="1"/>
      <c r="B17" s="258"/>
      <c r="C17" s="170"/>
      <c r="D17" s="171"/>
      <c r="E17" s="182"/>
      <c r="F17" s="170"/>
      <c r="G17" s="170"/>
      <c r="H17" s="170"/>
      <c r="I17" s="170"/>
      <c r="J17" s="235"/>
      <c r="K17" s="232"/>
      <c r="L17" s="228"/>
      <c r="M17" s="232"/>
      <c r="N17" s="228"/>
      <c r="O17" s="229"/>
      <c r="P17" s="235"/>
      <c r="Q17" s="232"/>
      <c r="R17" s="228"/>
      <c r="S17" s="232"/>
      <c r="T17" s="228"/>
      <c r="U17" s="229"/>
      <c r="V17" s="235"/>
      <c r="W17" s="232"/>
      <c r="X17" s="228"/>
      <c r="Y17" s="232"/>
      <c r="Z17" s="228"/>
      <c r="AA17" s="229"/>
      <c r="AB17" s="235"/>
      <c r="AC17" s="232"/>
      <c r="AD17" s="228"/>
      <c r="AE17" s="232"/>
      <c r="AF17" s="228"/>
      <c r="AG17" s="229"/>
      <c r="AH17" s="235"/>
      <c r="AI17" s="232"/>
      <c r="AJ17" s="228"/>
      <c r="AK17" s="232"/>
      <c r="AL17" s="228"/>
      <c r="AM17" s="229"/>
      <c r="AN17" s="1"/>
      <c r="AO17" s="267"/>
      <c r="AP17" s="170"/>
      <c r="AQ17" s="170"/>
      <c r="AR17" s="170"/>
      <c r="AS17" s="170"/>
      <c r="AT17" s="268"/>
      <c r="AU17" s="1"/>
      <c r="AV17" s="1"/>
      <c r="AW17" s="1"/>
      <c r="AX17" s="1"/>
      <c r="AY17" s="1"/>
      <c r="AZ17" s="1"/>
      <c r="BA17" s="1"/>
      <c r="BB17" s="1"/>
      <c r="BC17" s="1"/>
      <c r="BD17" s="1"/>
      <c r="BE17" s="1"/>
      <c r="BF17" s="1"/>
      <c r="BG17" s="1"/>
      <c r="BH17" s="1"/>
      <c r="BI17" s="1"/>
    </row>
    <row r="18" spans="1:61" ht="15" customHeight="1" x14ac:dyDescent="0.25">
      <c r="A18" s="1"/>
      <c r="B18" s="258"/>
      <c r="C18" s="170"/>
      <c r="D18" s="171"/>
      <c r="E18" s="182"/>
      <c r="F18" s="170"/>
      <c r="G18" s="170"/>
      <c r="H18" s="170"/>
      <c r="I18" s="170"/>
      <c r="J18" s="240" t="str">
        <f ca="1">IF(AND('Mapa final'!$L$21="Alta",'Mapa final'!$AI$21="Leve"),CONCATENATE("R",'Mapa final'!$B$21),"")</f>
        <v/>
      </c>
      <c r="K18" s="239"/>
      <c r="L18" s="226" t="str">
        <f ca="1">IF(AND('Mapa final'!$L$23="Alta",'Mapa final'!$AI$23="Leve"),CONCATENATE("R",'Mapa final'!$B$23),"")</f>
        <v/>
      </c>
      <c r="M18" s="239"/>
      <c r="N18" s="226" t="str">
        <f ca="1">IF(AND('Mapa final'!$L$24="Alta",'Mapa final'!$AI$24="Leve"),CONCATENATE("R",'Mapa final'!$B$24),"")</f>
        <v/>
      </c>
      <c r="O18" s="227"/>
      <c r="P18" s="240" t="str">
        <f ca="1">IF(AND('Mapa final'!$L$21="Alta",'Mapa final'!$AI$21="Menor"),CONCATENATE("R",'Mapa final'!$B$21),"")</f>
        <v/>
      </c>
      <c r="Q18" s="239"/>
      <c r="R18" s="226" t="str">
        <f ca="1">IF(AND('Mapa final'!$L$23="Alta",'Mapa final'!$AI$23="Menor"),CONCATENATE("R",'Mapa final'!$B$23),"")</f>
        <v/>
      </c>
      <c r="S18" s="239"/>
      <c r="T18" s="226" t="str">
        <f ca="1">IF(AND('Mapa final'!$L$24="Alta",'Mapa final'!$AI$24="Menor"),CONCATENATE("R",'Mapa final'!$B$24),"")</f>
        <v/>
      </c>
      <c r="U18" s="227"/>
      <c r="V18" s="241" t="str">
        <f ca="1">IF(AND('Mapa final'!$L$21="Alta",'Mapa final'!$AI$21="Moderado"),CONCATENATE("R",'Mapa final'!$B$21),"")</f>
        <v/>
      </c>
      <c r="W18" s="239"/>
      <c r="X18" s="242" t="str">
        <f ca="1">IF(AND('Mapa final'!$L$23="Alta",'Mapa final'!$AI$23="Moderado"),CONCATENATE("R",'Mapa final'!$B$23),"")</f>
        <v/>
      </c>
      <c r="Y18" s="239"/>
      <c r="Z18" s="242" t="str">
        <f ca="1">IF(AND('Mapa final'!$L$24="Alta",'Mapa final'!$AI$24="Moderado"),CONCATENATE("R",'Mapa final'!$B$24),"")</f>
        <v/>
      </c>
      <c r="AA18" s="227"/>
      <c r="AB18" s="241" t="str">
        <f ca="1">IF(AND('Mapa final'!$L$21="Alta",'Mapa final'!$AI$21="Mayor"),CONCATENATE("R",'Mapa final'!$B$21),"")</f>
        <v/>
      </c>
      <c r="AC18" s="239"/>
      <c r="AD18" s="242" t="str">
        <f ca="1">IF(AND('Mapa final'!$L$23="Alta",'Mapa final'!$AI$23="Mayor"),CONCATENATE("R",'Mapa final'!$B$23),"")</f>
        <v/>
      </c>
      <c r="AE18" s="239"/>
      <c r="AF18" s="242" t="str">
        <f ca="1">IF(AND('Mapa final'!$L$24="Alta",'Mapa final'!$AI$24="Mayor"),CONCATENATE("R",'Mapa final'!$B$24),"")</f>
        <v/>
      </c>
      <c r="AG18" s="227"/>
      <c r="AH18" s="243" t="str">
        <f ca="1">IF(AND('Mapa final'!$L$21="Alta",'Mapa final'!$AI$21="Catastrófico"),CONCATENATE("R",'Mapa final'!$B$21),"")</f>
        <v/>
      </c>
      <c r="AI18" s="239"/>
      <c r="AJ18" s="244" t="str">
        <f ca="1">IF(AND('Mapa final'!$L$23="Alta",'Mapa final'!$AI$23="Catastrófico"),CONCATENATE("R",'Mapa final'!$B$23),"")</f>
        <v/>
      </c>
      <c r="AK18" s="239"/>
      <c r="AL18" s="244" t="str">
        <f ca="1">IF(AND('Mapa final'!$L$24="Alta",'Mapa final'!$AI$24="Catastrófico"),CONCATENATE("R",'Mapa final'!$B$24),"")</f>
        <v/>
      </c>
      <c r="AM18" s="227"/>
      <c r="AN18" s="1"/>
      <c r="AO18" s="267"/>
      <c r="AP18" s="170"/>
      <c r="AQ18" s="170"/>
      <c r="AR18" s="170"/>
      <c r="AS18" s="170"/>
      <c r="AT18" s="268"/>
      <c r="AU18" s="1"/>
      <c r="AV18" s="1"/>
      <c r="AW18" s="1"/>
      <c r="AX18" s="1"/>
      <c r="AY18" s="1"/>
      <c r="AZ18" s="1"/>
      <c r="BA18" s="1"/>
      <c r="BB18" s="1"/>
      <c r="BC18" s="1"/>
      <c r="BD18" s="1"/>
      <c r="BE18" s="1"/>
      <c r="BF18" s="1"/>
      <c r="BG18" s="1"/>
      <c r="BH18" s="1"/>
      <c r="BI18" s="1"/>
    </row>
    <row r="19" spans="1:61" ht="15" customHeight="1" x14ac:dyDescent="0.25">
      <c r="A19" s="1"/>
      <c r="B19" s="258"/>
      <c r="C19" s="170"/>
      <c r="D19" s="171"/>
      <c r="E19" s="182"/>
      <c r="F19" s="170"/>
      <c r="G19" s="170"/>
      <c r="H19" s="170"/>
      <c r="I19" s="170"/>
      <c r="J19" s="235"/>
      <c r="K19" s="232"/>
      <c r="L19" s="228"/>
      <c r="M19" s="232"/>
      <c r="N19" s="228"/>
      <c r="O19" s="229"/>
      <c r="P19" s="235"/>
      <c r="Q19" s="232"/>
      <c r="R19" s="228"/>
      <c r="S19" s="232"/>
      <c r="T19" s="228"/>
      <c r="U19" s="229"/>
      <c r="V19" s="235"/>
      <c r="W19" s="232"/>
      <c r="X19" s="228"/>
      <c r="Y19" s="232"/>
      <c r="Z19" s="228"/>
      <c r="AA19" s="229"/>
      <c r="AB19" s="235"/>
      <c r="AC19" s="232"/>
      <c r="AD19" s="228"/>
      <c r="AE19" s="232"/>
      <c r="AF19" s="228"/>
      <c r="AG19" s="229"/>
      <c r="AH19" s="235"/>
      <c r="AI19" s="232"/>
      <c r="AJ19" s="228"/>
      <c r="AK19" s="232"/>
      <c r="AL19" s="228"/>
      <c r="AM19" s="229"/>
      <c r="AN19" s="1"/>
      <c r="AO19" s="267"/>
      <c r="AP19" s="170"/>
      <c r="AQ19" s="170"/>
      <c r="AR19" s="170"/>
      <c r="AS19" s="170"/>
      <c r="AT19" s="268"/>
      <c r="AU19" s="1"/>
      <c r="AV19" s="1"/>
      <c r="AW19" s="1"/>
      <c r="AX19" s="1"/>
      <c r="AY19" s="1"/>
      <c r="AZ19" s="1"/>
      <c r="BA19" s="1"/>
      <c r="BB19" s="1"/>
      <c r="BC19" s="1"/>
      <c r="BD19" s="1"/>
      <c r="BE19" s="1"/>
      <c r="BF19" s="1"/>
      <c r="BG19" s="1"/>
      <c r="BH19" s="1"/>
      <c r="BI19" s="1"/>
    </row>
    <row r="20" spans="1:61" ht="15" customHeight="1" x14ac:dyDescent="0.25">
      <c r="A20" s="1"/>
      <c r="B20" s="258"/>
      <c r="C20" s="170"/>
      <c r="D20" s="171"/>
      <c r="E20" s="182"/>
      <c r="F20" s="170"/>
      <c r="G20" s="170"/>
      <c r="H20" s="170"/>
      <c r="I20" s="170"/>
      <c r="J20" s="240" t="str">
        <f ca="1">IF(AND('Mapa final'!$L$25="Alta",'Mapa final'!$AI$25="Leve"),CONCATENATE("R",'Mapa final'!$B$25),"")</f>
        <v/>
      </c>
      <c r="K20" s="239"/>
      <c r="L20" s="226" t="str">
        <f>IF(AND('Mapa final'!$L$120="Alta",'Mapa final'!$AI$120="Leve"),CONCATENATE("R",'Mapa final'!$B$120),"")</f>
        <v/>
      </c>
      <c r="M20" s="239"/>
      <c r="N20" s="226" t="str">
        <f>IF(AND('Mapa final'!$L$126="Alta",'Mapa final'!$AI$126="Leve"),CONCATENATE("R",'Mapa final'!$B$126),"")</f>
        <v/>
      </c>
      <c r="O20" s="227"/>
      <c r="P20" s="240" t="str">
        <f ca="1">IF(AND('Mapa final'!$L$25="Alta",'Mapa final'!$AI$25="Menor"),CONCATENATE("R",'Mapa final'!$B$25),"")</f>
        <v/>
      </c>
      <c r="Q20" s="239"/>
      <c r="R20" s="226" t="str">
        <f>IF(AND('Mapa final'!$L$120="Alta",'Mapa final'!$AI$120="Menor"),CONCATENATE("R",'Mapa final'!$B$120),"")</f>
        <v/>
      </c>
      <c r="S20" s="239"/>
      <c r="T20" s="226" t="str">
        <f>IF(AND('Mapa final'!$L$126="Alta",'Mapa final'!$AI$126="Menor"),CONCATENATE("R",'Mapa final'!$B$126),"")</f>
        <v/>
      </c>
      <c r="U20" s="227"/>
      <c r="V20" s="241" t="str">
        <f ca="1">IF(AND('Mapa final'!$L$25="Alta",'Mapa final'!$AI$25="Moderado"),CONCATENATE("R",'Mapa final'!$B$25),"")</f>
        <v/>
      </c>
      <c r="W20" s="239"/>
      <c r="X20" s="242" t="str">
        <f>IF(AND('Mapa final'!$L$120="Alta",'Mapa final'!$AI$120="Moderado"),CONCATENATE("R",'Mapa final'!$B$120),"")</f>
        <v/>
      </c>
      <c r="Y20" s="239"/>
      <c r="Z20" s="242" t="str">
        <f>IF(AND('Mapa final'!$L$126="Alta",'Mapa final'!$AI$126="Moderado"),CONCATENATE("R",'Mapa final'!$B$126),"")</f>
        <v/>
      </c>
      <c r="AA20" s="227"/>
      <c r="AB20" s="241" t="str">
        <f ca="1">IF(AND('Mapa final'!$L$25="Alta",'Mapa final'!$AI$25="Mayor"),CONCATENATE("R",'Mapa final'!$B$25),"")</f>
        <v/>
      </c>
      <c r="AC20" s="239"/>
      <c r="AD20" s="242" t="str">
        <f>IF(AND('Mapa final'!$L$120="Alta",'Mapa final'!$AI$120="Mayor"),CONCATENATE("R",'Mapa final'!$B$120),"")</f>
        <v/>
      </c>
      <c r="AE20" s="239"/>
      <c r="AF20" s="242" t="str">
        <f>IF(AND('Mapa final'!$L$126="Alta",'Mapa final'!$AI$126="Mayor"),CONCATENATE("R",'Mapa final'!$B$126),"")</f>
        <v/>
      </c>
      <c r="AG20" s="227"/>
      <c r="AH20" s="243" t="str">
        <f ca="1">IF(AND('Mapa final'!$L$25="Alta",'Mapa final'!$AI$25="Catastrófico"),CONCATENATE("R",'Mapa final'!$B$25),"")</f>
        <v/>
      </c>
      <c r="AI20" s="239"/>
      <c r="AJ20" s="244" t="str">
        <f>IF(AND('Mapa final'!$L$120="Alta",'Mapa final'!$AI$120="Catastrófico"),CONCATENATE("R",'Mapa final'!$B$120),"")</f>
        <v/>
      </c>
      <c r="AK20" s="239"/>
      <c r="AL20" s="244" t="str">
        <f>IF(AND('Mapa final'!$L$126="Alta",'Mapa final'!$AI$126="Catastrófico"),CONCATENATE("R",'Mapa final'!$B$126),"")</f>
        <v/>
      </c>
      <c r="AM20" s="227"/>
      <c r="AN20" s="1"/>
      <c r="AO20" s="267"/>
      <c r="AP20" s="170"/>
      <c r="AQ20" s="170"/>
      <c r="AR20" s="170"/>
      <c r="AS20" s="170"/>
      <c r="AT20" s="268"/>
      <c r="AU20" s="1"/>
      <c r="AV20" s="1"/>
      <c r="AW20" s="1"/>
      <c r="AX20" s="1"/>
      <c r="AY20" s="1"/>
      <c r="AZ20" s="1"/>
      <c r="BA20" s="1"/>
      <c r="BB20" s="1"/>
      <c r="BC20" s="1"/>
      <c r="BD20" s="1"/>
      <c r="BE20" s="1"/>
      <c r="BF20" s="1"/>
      <c r="BG20" s="1"/>
      <c r="BH20" s="1"/>
      <c r="BI20" s="1"/>
    </row>
    <row r="21" spans="1:61" ht="15.75" customHeight="1" x14ac:dyDescent="0.25">
      <c r="A21" s="1"/>
      <c r="B21" s="258"/>
      <c r="C21" s="170"/>
      <c r="D21" s="171"/>
      <c r="E21" s="248"/>
      <c r="F21" s="249"/>
      <c r="G21" s="249"/>
      <c r="H21" s="249"/>
      <c r="I21" s="249"/>
      <c r="J21" s="248"/>
      <c r="K21" s="250"/>
      <c r="L21" s="251"/>
      <c r="M21" s="250"/>
      <c r="N21" s="251"/>
      <c r="O21" s="252"/>
      <c r="P21" s="248"/>
      <c r="Q21" s="250"/>
      <c r="R21" s="251"/>
      <c r="S21" s="250"/>
      <c r="T21" s="251"/>
      <c r="U21" s="252"/>
      <c r="V21" s="248"/>
      <c r="W21" s="250"/>
      <c r="X21" s="251"/>
      <c r="Y21" s="250"/>
      <c r="Z21" s="251"/>
      <c r="AA21" s="252"/>
      <c r="AB21" s="248"/>
      <c r="AC21" s="250"/>
      <c r="AD21" s="251"/>
      <c r="AE21" s="250"/>
      <c r="AF21" s="251"/>
      <c r="AG21" s="252"/>
      <c r="AH21" s="248"/>
      <c r="AI21" s="250"/>
      <c r="AJ21" s="251"/>
      <c r="AK21" s="250"/>
      <c r="AL21" s="251"/>
      <c r="AM21" s="252"/>
      <c r="AN21" s="1"/>
      <c r="AO21" s="269"/>
      <c r="AP21" s="270"/>
      <c r="AQ21" s="270"/>
      <c r="AR21" s="270"/>
      <c r="AS21" s="270"/>
      <c r="AT21" s="271"/>
      <c r="AU21" s="1"/>
      <c r="AV21" s="1"/>
      <c r="AW21" s="1"/>
      <c r="AX21" s="1"/>
      <c r="AY21" s="1"/>
      <c r="AZ21" s="1"/>
      <c r="BA21" s="1"/>
      <c r="BB21" s="1"/>
      <c r="BC21" s="1"/>
      <c r="BD21" s="1"/>
      <c r="BE21" s="1"/>
      <c r="BF21" s="1"/>
      <c r="BG21" s="1"/>
      <c r="BH21" s="1"/>
      <c r="BI21" s="1"/>
    </row>
    <row r="22" spans="1:61" ht="15.75" customHeight="1" x14ac:dyDescent="0.25">
      <c r="A22" s="1"/>
      <c r="B22" s="258"/>
      <c r="C22" s="170"/>
      <c r="D22" s="171"/>
      <c r="E22" s="246" t="s">
        <v>97</v>
      </c>
      <c r="F22" s="247"/>
      <c r="G22" s="247"/>
      <c r="H22" s="247"/>
      <c r="I22" s="233"/>
      <c r="J22" s="245" t="str">
        <f ca="1">IF(AND('Mapa final'!$L$10="Media",'Mapa final'!$AI$10="Leve"),CONCATENATE("R",'Mapa final'!$B$10),"")</f>
        <v/>
      </c>
      <c r="K22" s="231"/>
      <c r="L22" s="230" t="str">
        <f ca="1">IF(AND('Mapa final'!$L$12="Media",'Mapa final'!$AI$12="Leve"),CONCATENATE("R",'Mapa final'!$B$12),"")</f>
        <v/>
      </c>
      <c r="M22" s="231"/>
      <c r="N22" s="230" t="str">
        <f ca="1">IF(AND('Mapa final'!$L$14="Media",'Mapa final'!$AI$14="Leve"),CONCATENATE("R",'Mapa final'!$B$14),"")</f>
        <v/>
      </c>
      <c r="O22" s="233"/>
      <c r="P22" s="245" t="str">
        <f ca="1">IF(AND('Mapa final'!$L$10="Media",'Mapa final'!$AI$10="Menor"),CONCATENATE("R",'Mapa final'!$B$10),"")</f>
        <v/>
      </c>
      <c r="Q22" s="231"/>
      <c r="R22" s="230" t="str">
        <f ca="1">IF(AND('Mapa final'!$L$12="Media",'Mapa final'!$AI$12="Menor"),CONCATENATE("R",'Mapa final'!$B$12),"")</f>
        <v/>
      </c>
      <c r="S22" s="231"/>
      <c r="T22" s="230" t="str">
        <f ca="1">IF(AND('Mapa final'!$L$14="Media",'Mapa final'!$AI$14="Menor"),CONCATENATE("R",'Mapa final'!$B$14),"")</f>
        <v/>
      </c>
      <c r="U22" s="233"/>
      <c r="V22" s="245" t="str">
        <f ca="1">IF(AND('Mapa final'!$L$10="Media",'Mapa final'!$AI$10="Moderado"),CONCATENATE("R",'Mapa final'!$B$10),"")</f>
        <v/>
      </c>
      <c r="W22" s="231"/>
      <c r="X22" s="230" t="str">
        <f ca="1">IF(AND('Mapa final'!$L$12="Media",'Mapa final'!$AI$12="Moderado"),CONCATENATE("R",'Mapa final'!$B$12),"")</f>
        <v/>
      </c>
      <c r="Y22" s="231"/>
      <c r="Z22" s="230" t="str">
        <f ca="1">IF(AND('Mapa final'!$L$14="Media",'Mapa final'!$AI$14="Moderado"),CONCATENATE("R",'Mapa final'!$B$14),"")</f>
        <v>RDIRECCIONAMIENTO ESTRATÉGICO</v>
      </c>
      <c r="AA22" s="233"/>
      <c r="AB22" s="234" t="str">
        <f ca="1">IF(AND('Mapa final'!$L$10="Media",'Mapa final'!$AI$10="Mayor"),CONCATENATE("R",'Mapa final'!$B$10),"")</f>
        <v/>
      </c>
      <c r="AC22" s="231"/>
      <c r="AD22" s="236" t="str">
        <f ca="1">IF(AND('Mapa final'!$L$12="Media",'Mapa final'!$AI$12="Mayor"),CONCATENATE("R",'Mapa final'!$B$12),"")</f>
        <v/>
      </c>
      <c r="AE22" s="231"/>
      <c r="AF22" s="236" t="str">
        <f ca="1">IF(AND('Mapa final'!$L$14="Media",'Mapa final'!$AI$14="Mayor"),CONCATENATE("R",'Mapa final'!$B$14),"")</f>
        <v/>
      </c>
      <c r="AG22" s="233"/>
      <c r="AH22" s="253" t="str">
        <f ca="1">IF(AND('Mapa final'!$L$10="Media",'Mapa final'!$AI$10="Catastrófico"),CONCATENATE("R",'Mapa final'!$B$10),"")</f>
        <v/>
      </c>
      <c r="AI22" s="231"/>
      <c r="AJ22" s="237" t="str">
        <f ca="1">IF(AND('Mapa final'!$L$12="Media",'Mapa final'!$AI$12="Catastrófico"),CONCATENATE("R",'Mapa final'!$B$12),"")</f>
        <v/>
      </c>
      <c r="AK22" s="231"/>
      <c r="AL22" s="237" t="str">
        <f ca="1">IF(AND('Mapa final'!$L$14="Media",'Mapa final'!$AI$14="Catastrófico"),CONCATENATE("R",'Mapa final'!$B$14),"")</f>
        <v/>
      </c>
      <c r="AM22" s="233"/>
      <c r="AN22" s="1"/>
      <c r="AO22" s="274" t="s">
        <v>98</v>
      </c>
      <c r="AP22" s="265"/>
      <c r="AQ22" s="265"/>
      <c r="AR22" s="265"/>
      <c r="AS22" s="265"/>
      <c r="AT22" s="266"/>
      <c r="AU22" s="1"/>
      <c r="AV22" s="1"/>
      <c r="AW22" s="1"/>
      <c r="AX22" s="1"/>
      <c r="AY22" s="1"/>
      <c r="AZ22" s="1"/>
      <c r="BA22" s="1"/>
      <c r="BB22" s="1"/>
      <c r="BC22" s="1"/>
      <c r="BD22" s="1"/>
      <c r="BE22" s="1"/>
      <c r="BF22" s="1"/>
      <c r="BG22" s="1"/>
      <c r="BH22" s="1"/>
      <c r="BI22" s="1"/>
    </row>
    <row r="23" spans="1:61" ht="15.75" customHeight="1" x14ac:dyDescent="0.25">
      <c r="A23" s="1"/>
      <c r="B23" s="258"/>
      <c r="C23" s="170"/>
      <c r="D23" s="171"/>
      <c r="E23" s="182"/>
      <c r="F23" s="170"/>
      <c r="G23" s="170"/>
      <c r="H23" s="170"/>
      <c r="I23" s="171"/>
      <c r="J23" s="235"/>
      <c r="K23" s="232"/>
      <c r="L23" s="228"/>
      <c r="M23" s="232"/>
      <c r="N23" s="228"/>
      <c r="O23" s="229"/>
      <c r="P23" s="235"/>
      <c r="Q23" s="232"/>
      <c r="R23" s="228"/>
      <c r="S23" s="232"/>
      <c r="T23" s="228"/>
      <c r="U23" s="229"/>
      <c r="V23" s="235"/>
      <c r="W23" s="232"/>
      <c r="X23" s="228"/>
      <c r="Y23" s="232"/>
      <c r="Z23" s="228"/>
      <c r="AA23" s="229"/>
      <c r="AB23" s="235"/>
      <c r="AC23" s="232"/>
      <c r="AD23" s="228"/>
      <c r="AE23" s="232"/>
      <c r="AF23" s="228"/>
      <c r="AG23" s="229"/>
      <c r="AH23" s="235"/>
      <c r="AI23" s="232"/>
      <c r="AJ23" s="228"/>
      <c r="AK23" s="232"/>
      <c r="AL23" s="228"/>
      <c r="AM23" s="229"/>
      <c r="AN23" s="1"/>
      <c r="AO23" s="267"/>
      <c r="AP23" s="170"/>
      <c r="AQ23" s="170"/>
      <c r="AR23" s="170"/>
      <c r="AS23" s="170"/>
      <c r="AT23" s="268"/>
      <c r="AU23" s="1"/>
      <c r="AV23" s="1"/>
      <c r="AW23" s="1"/>
      <c r="AX23" s="1"/>
      <c r="AY23" s="1"/>
      <c r="AZ23" s="1"/>
      <c r="BA23" s="1"/>
      <c r="BB23" s="1"/>
      <c r="BC23" s="1"/>
      <c r="BD23" s="1"/>
      <c r="BE23" s="1"/>
      <c r="BF23" s="1"/>
      <c r="BG23" s="1"/>
      <c r="BH23" s="1"/>
      <c r="BI23" s="1"/>
    </row>
    <row r="24" spans="1:61" ht="15.75" customHeight="1" x14ac:dyDescent="0.25">
      <c r="A24" s="1"/>
      <c r="B24" s="258"/>
      <c r="C24" s="170"/>
      <c r="D24" s="171"/>
      <c r="E24" s="182"/>
      <c r="F24" s="170"/>
      <c r="G24" s="170"/>
      <c r="H24" s="170"/>
      <c r="I24" s="171"/>
      <c r="J24" s="240" t="str">
        <f ca="1">IF(AND('Mapa final'!$L$15="Media",'Mapa final'!$AI$15="Leve"),CONCATENATE("R",'Mapa final'!$B$15),"")</f>
        <v/>
      </c>
      <c r="K24" s="239"/>
      <c r="L24" s="226" t="str">
        <f ca="1">IF(AND('Mapa final'!$L$18="Media",'Mapa final'!$AI$18="Leve"),CONCATENATE("R",'Mapa final'!$B$18),"")</f>
        <v/>
      </c>
      <c r="M24" s="239"/>
      <c r="N24" s="226" t="str">
        <f ca="1">IF(AND('Mapa final'!$L$19="Media",'Mapa final'!$AI$19="Leve"),CONCATENATE("R",'Mapa final'!$B$19),"")</f>
        <v/>
      </c>
      <c r="O24" s="227"/>
      <c r="P24" s="240" t="str">
        <f ca="1">IF(AND('Mapa final'!$L$15="Media",'Mapa final'!$AI$15="Menor"),CONCATENATE("R",'Mapa final'!$B$15),"")</f>
        <v>RDIRECCIONAMIENTO ESTRATÉGICO</v>
      </c>
      <c r="Q24" s="239"/>
      <c r="R24" s="226" t="str">
        <f ca="1">IF(AND('Mapa final'!$L$18="Media",'Mapa final'!$AI$18="Menor"),CONCATENATE("R",'Mapa final'!$B$18),"")</f>
        <v/>
      </c>
      <c r="S24" s="239"/>
      <c r="T24" s="226" t="str">
        <f ca="1">IF(AND('Mapa final'!$L$19="Media",'Mapa final'!$AI$19="Menor"),CONCATENATE("R",'Mapa final'!$B$19),"")</f>
        <v/>
      </c>
      <c r="U24" s="227"/>
      <c r="V24" s="240" t="str">
        <f ca="1">IF(AND('Mapa final'!$L$15="Media",'Mapa final'!$AI$15="Moderado"),CONCATENATE("R",'Mapa final'!$B$15),"")</f>
        <v/>
      </c>
      <c r="W24" s="239"/>
      <c r="X24" s="226" t="str">
        <f ca="1">IF(AND('Mapa final'!$L$18="Media",'Mapa final'!$AI$18="Moderado"),CONCATENATE("R",'Mapa final'!$B$18),"")</f>
        <v/>
      </c>
      <c r="Y24" s="239"/>
      <c r="Z24" s="226" t="str">
        <f ca="1">IF(AND('Mapa final'!$L$19="Media",'Mapa final'!$AI$19="Moderado"),CONCATENATE("R",'Mapa final'!$B$19),"")</f>
        <v>RPLANEACÓN INSTITUCIONAL</v>
      </c>
      <c r="AA24" s="227"/>
      <c r="AB24" s="241" t="str">
        <f ca="1">IF(AND('Mapa final'!$L$15="Media",'Mapa final'!$AI$15="Mayor"),CONCATENATE("R",'Mapa final'!$B$15),"")</f>
        <v/>
      </c>
      <c r="AC24" s="239"/>
      <c r="AD24" s="242" t="str">
        <f ca="1">IF(AND('Mapa final'!$L$18="Media",'Mapa final'!$AI$18="Mayor"),CONCATENATE("R",'Mapa final'!$B$18),"")</f>
        <v/>
      </c>
      <c r="AE24" s="239"/>
      <c r="AF24" s="242" t="str">
        <f ca="1">IF(AND('Mapa final'!$L$19="Media",'Mapa final'!$AI$19="Mayor"),CONCATENATE("R",'Mapa final'!$B$19),"")</f>
        <v/>
      </c>
      <c r="AG24" s="227"/>
      <c r="AH24" s="243" t="str">
        <f ca="1">IF(AND('Mapa final'!$L$15="Media",'Mapa final'!$AI$15="Catastrófico"),CONCATENATE("R",'Mapa final'!$B$15),"")</f>
        <v/>
      </c>
      <c r="AI24" s="239"/>
      <c r="AJ24" s="244" t="str">
        <f ca="1">IF(AND('Mapa final'!$L$18="Media",'Mapa final'!$AI$18="Catastrófico"),CONCATENATE("R",'Mapa final'!$B$18),"")</f>
        <v/>
      </c>
      <c r="AK24" s="239"/>
      <c r="AL24" s="244" t="str">
        <f ca="1">IF(AND('Mapa final'!$L$19="Media",'Mapa final'!$AI$19="Catastrófico"),CONCATENATE("R",'Mapa final'!$B$19),"")</f>
        <v/>
      </c>
      <c r="AM24" s="227"/>
      <c r="AN24" s="1"/>
      <c r="AO24" s="267"/>
      <c r="AP24" s="170"/>
      <c r="AQ24" s="170"/>
      <c r="AR24" s="170"/>
      <c r="AS24" s="170"/>
      <c r="AT24" s="268"/>
      <c r="AU24" s="1"/>
      <c r="AV24" s="1"/>
      <c r="AW24" s="1"/>
      <c r="AX24" s="1"/>
      <c r="AY24" s="1"/>
      <c r="AZ24" s="1"/>
      <c r="BA24" s="1"/>
      <c r="BB24" s="1"/>
      <c r="BC24" s="1"/>
      <c r="BD24" s="1"/>
      <c r="BE24" s="1"/>
      <c r="BF24" s="1"/>
      <c r="BG24" s="1"/>
      <c r="BH24" s="1"/>
      <c r="BI24" s="1"/>
    </row>
    <row r="25" spans="1:61" ht="15.75" customHeight="1" x14ac:dyDescent="0.25">
      <c r="A25" s="1"/>
      <c r="B25" s="258"/>
      <c r="C25" s="170"/>
      <c r="D25" s="171"/>
      <c r="E25" s="182"/>
      <c r="F25" s="170"/>
      <c r="G25" s="170"/>
      <c r="H25" s="170"/>
      <c r="I25" s="171"/>
      <c r="J25" s="235"/>
      <c r="K25" s="232"/>
      <c r="L25" s="228"/>
      <c r="M25" s="232"/>
      <c r="N25" s="228"/>
      <c r="O25" s="229"/>
      <c r="P25" s="235"/>
      <c r="Q25" s="232"/>
      <c r="R25" s="228"/>
      <c r="S25" s="232"/>
      <c r="T25" s="228"/>
      <c r="U25" s="229"/>
      <c r="V25" s="235"/>
      <c r="W25" s="232"/>
      <c r="X25" s="228"/>
      <c r="Y25" s="232"/>
      <c r="Z25" s="228"/>
      <c r="AA25" s="229"/>
      <c r="AB25" s="235"/>
      <c r="AC25" s="232"/>
      <c r="AD25" s="228"/>
      <c r="AE25" s="232"/>
      <c r="AF25" s="228"/>
      <c r="AG25" s="229"/>
      <c r="AH25" s="235"/>
      <c r="AI25" s="232"/>
      <c r="AJ25" s="228"/>
      <c r="AK25" s="232"/>
      <c r="AL25" s="228"/>
      <c r="AM25" s="229"/>
      <c r="AN25" s="1"/>
      <c r="AO25" s="267"/>
      <c r="AP25" s="170"/>
      <c r="AQ25" s="170"/>
      <c r="AR25" s="170"/>
      <c r="AS25" s="170"/>
      <c r="AT25" s="268"/>
      <c r="AU25" s="1"/>
      <c r="AV25" s="1"/>
      <c r="AW25" s="1"/>
      <c r="AX25" s="1"/>
      <c r="AY25" s="1"/>
      <c r="AZ25" s="1"/>
      <c r="BA25" s="1"/>
      <c r="BB25" s="1"/>
      <c r="BC25" s="1"/>
      <c r="BD25" s="1"/>
      <c r="BE25" s="1"/>
      <c r="BF25" s="1"/>
      <c r="BG25" s="1"/>
      <c r="BH25" s="1"/>
      <c r="BI25" s="1"/>
    </row>
    <row r="26" spans="1:61" ht="15.75" customHeight="1" x14ac:dyDescent="0.25">
      <c r="A26" s="1"/>
      <c r="B26" s="258"/>
      <c r="C26" s="170"/>
      <c r="D26" s="171"/>
      <c r="E26" s="182"/>
      <c r="F26" s="170"/>
      <c r="G26" s="170"/>
      <c r="H26" s="170"/>
      <c r="I26" s="171"/>
      <c r="J26" s="240" t="str">
        <f ca="1">IF(AND('Mapa final'!$L$21="Media",'Mapa final'!$AI$21="Leve"),CONCATENATE("R",'Mapa final'!$B$21),"")</f>
        <v/>
      </c>
      <c r="K26" s="239"/>
      <c r="L26" s="226" t="str">
        <f ca="1">IF(AND('Mapa final'!$L$23="Media",'Mapa final'!$AI$23="Leve"),CONCATENATE("R",'Mapa final'!$B$23),"")</f>
        <v/>
      </c>
      <c r="M26" s="239"/>
      <c r="N26" s="226" t="str">
        <f ca="1">IF(AND('Mapa final'!$L$24="Media",'Mapa final'!$AI$24="Leve"),CONCATENATE("R",'Mapa final'!$B$24),"")</f>
        <v/>
      </c>
      <c r="O26" s="227"/>
      <c r="P26" s="240" t="str">
        <f ca="1">IF(AND('Mapa final'!$L$21="Media",'Mapa final'!$AI$21="Menor"),CONCATENATE("R",'Mapa final'!$B$21),"")</f>
        <v/>
      </c>
      <c r="Q26" s="239"/>
      <c r="R26" s="226" t="str">
        <f ca="1">IF(AND('Mapa final'!$L$23="Media",'Mapa final'!$AI$23="Menor"),CONCATENATE("R",'Mapa final'!$B$23),"")</f>
        <v/>
      </c>
      <c r="S26" s="239"/>
      <c r="T26" s="226" t="str">
        <f ca="1">IF(AND('Mapa final'!$L$24="Media",'Mapa final'!$AI$24="Menor"),CONCATENATE("R",'Mapa final'!$B$24),"")</f>
        <v/>
      </c>
      <c r="U26" s="227"/>
      <c r="V26" s="240" t="str">
        <f ca="1">IF(AND('Mapa final'!$L$21="Media",'Mapa final'!$AI$21="Moderado"),CONCATENATE("R",'Mapa final'!$B$21),"")</f>
        <v>RGESTIÓN ESTADÍSTICA GENERAL DEL SISTEMA DEL SUBSIDIO FAMILIAR</v>
      </c>
      <c r="W26" s="239"/>
      <c r="X26" s="226" t="str">
        <f ca="1">IF(AND('Mapa final'!$L$23="Media",'Mapa final'!$AI$23="Moderado"),CONCATENATE("R",'Mapa final'!$B$23),"")</f>
        <v>RGESTIÓN ESTADÍSTICA GENERAL DEL SISTEMA DEL SUBSIDIO FAMILIAR</v>
      </c>
      <c r="Y26" s="239"/>
      <c r="Z26" s="226" t="str">
        <f ca="1">IF(AND('Mapa final'!$L$24="Media",'Mapa final'!$AI$24="Moderado"),CONCATENATE("R",'Mapa final'!$B$24),"")</f>
        <v>RCOMUNICACIÓN PÚBLICA</v>
      </c>
      <c r="AA26" s="227"/>
      <c r="AB26" s="241" t="str">
        <f ca="1">IF(AND('Mapa final'!$L$21="Media",'Mapa final'!$AI$21="Mayor"),CONCATENATE("R",'Mapa final'!$B$21),"")</f>
        <v/>
      </c>
      <c r="AC26" s="239"/>
      <c r="AD26" s="242" t="str">
        <f ca="1">IF(AND('Mapa final'!$L$23="Media",'Mapa final'!$AI$23="Mayor"),CONCATENATE("R",'Mapa final'!$B$23),"")</f>
        <v/>
      </c>
      <c r="AE26" s="239"/>
      <c r="AF26" s="242" t="str">
        <f ca="1">IF(AND('Mapa final'!$L$24="Media",'Mapa final'!$AI$24="Mayor"),CONCATENATE("R",'Mapa final'!$B$24),"")</f>
        <v/>
      </c>
      <c r="AG26" s="227"/>
      <c r="AH26" s="243" t="str">
        <f ca="1">IF(AND('Mapa final'!$L$21="Media",'Mapa final'!$AI$21="Catastrófico"),CONCATENATE("R",'Mapa final'!$B$21),"")</f>
        <v/>
      </c>
      <c r="AI26" s="239"/>
      <c r="AJ26" s="244" t="str">
        <f ca="1">IF(AND('Mapa final'!$L$23="Media",'Mapa final'!$AI$23="Catastrófico"),CONCATENATE("R",'Mapa final'!$B$23),"")</f>
        <v/>
      </c>
      <c r="AK26" s="239"/>
      <c r="AL26" s="244" t="str">
        <f ca="1">IF(AND('Mapa final'!$L$24="Media",'Mapa final'!$AI$24="Catastrófico"),CONCATENATE("R",'Mapa final'!$B$24),"")</f>
        <v/>
      </c>
      <c r="AM26" s="227"/>
      <c r="AN26" s="1"/>
      <c r="AO26" s="267"/>
      <c r="AP26" s="170"/>
      <c r="AQ26" s="170"/>
      <c r="AR26" s="170"/>
      <c r="AS26" s="170"/>
      <c r="AT26" s="268"/>
      <c r="AU26" s="1"/>
      <c r="AV26" s="1"/>
      <c r="AW26" s="1"/>
      <c r="AX26" s="1"/>
      <c r="AY26" s="1"/>
      <c r="AZ26" s="1"/>
      <c r="BA26" s="1"/>
      <c r="BB26" s="1"/>
      <c r="BC26" s="1"/>
      <c r="BD26" s="1"/>
      <c r="BE26" s="1"/>
      <c r="BF26" s="1"/>
      <c r="BG26" s="1"/>
      <c r="BH26" s="1"/>
      <c r="BI26" s="1"/>
    </row>
    <row r="27" spans="1:61" ht="15.75" customHeight="1" x14ac:dyDescent="0.25">
      <c r="A27" s="1"/>
      <c r="B27" s="258"/>
      <c r="C27" s="170"/>
      <c r="D27" s="171"/>
      <c r="E27" s="182"/>
      <c r="F27" s="170"/>
      <c r="G27" s="170"/>
      <c r="H27" s="170"/>
      <c r="I27" s="171"/>
      <c r="J27" s="235"/>
      <c r="K27" s="232"/>
      <c r="L27" s="228"/>
      <c r="M27" s="232"/>
      <c r="N27" s="228"/>
      <c r="O27" s="229"/>
      <c r="P27" s="235"/>
      <c r="Q27" s="232"/>
      <c r="R27" s="228"/>
      <c r="S27" s="232"/>
      <c r="T27" s="228"/>
      <c r="U27" s="229"/>
      <c r="V27" s="235"/>
      <c r="W27" s="232"/>
      <c r="X27" s="228"/>
      <c r="Y27" s="232"/>
      <c r="Z27" s="228"/>
      <c r="AA27" s="229"/>
      <c r="AB27" s="235"/>
      <c r="AC27" s="232"/>
      <c r="AD27" s="228"/>
      <c r="AE27" s="232"/>
      <c r="AF27" s="228"/>
      <c r="AG27" s="229"/>
      <c r="AH27" s="235"/>
      <c r="AI27" s="232"/>
      <c r="AJ27" s="228"/>
      <c r="AK27" s="232"/>
      <c r="AL27" s="228"/>
      <c r="AM27" s="229"/>
      <c r="AN27" s="1"/>
      <c r="AO27" s="267"/>
      <c r="AP27" s="170"/>
      <c r="AQ27" s="170"/>
      <c r="AR27" s="170"/>
      <c r="AS27" s="170"/>
      <c r="AT27" s="268"/>
      <c r="AU27" s="1"/>
      <c r="AV27" s="1"/>
      <c r="AW27" s="1"/>
      <c r="AX27" s="1"/>
      <c r="AY27" s="1"/>
      <c r="AZ27" s="1"/>
      <c r="BA27" s="1"/>
      <c r="BB27" s="1"/>
      <c r="BC27" s="1"/>
      <c r="BD27" s="1"/>
      <c r="BE27" s="1"/>
      <c r="BF27" s="1"/>
      <c r="BG27" s="1"/>
      <c r="BH27" s="1"/>
      <c r="BI27" s="1"/>
    </row>
    <row r="28" spans="1:61" ht="15.75" customHeight="1" x14ac:dyDescent="0.25">
      <c r="A28" s="1"/>
      <c r="B28" s="258"/>
      <c r="C28" s="170"/>
      <c r="D28" s="171"/>
      <c r="E28" s="182"/>
      <c r="F28" s="170"/>
      <c r="G28" s="170"/>
      <c r="H28" s="170"/>
      <c r="I28" s="171"/>
      <c r="J28" s="240" t="str">
        <f ca="1">IF(AND('Mapa final'!$L$25="Media",'Mapa final'!$AI$25="Leve"),CONCATENATE("R",'Mapa final'!$B$25),"")</f>
        <v/>
      </c>
      <c r="K28" s="239"/>
      <c r="L28" s="226" t="str">
        <f>IF(AND('Mapa final'!$L$120="Media",'Mapa final'!$AI$120="Leve"),CONCATENATE("R",'Mapa final'!$B$120),"")</f>
        <v/>
      </c>
      <c r="M28" s="239"/>
      <c r="N28" s="226" t="str">
        <f>IF(AND('Mapa final'!$L$126="Media",'Mapa final'!$AI$126="Leve"),CONCATENATE("R",'Mapa final'!$B$126),"")</f>
        <v/>
      </c>
      <c r="O28" s="227"/>
      <c r="P28" s="240" t="str">
        <f ca="1">IF(AND('Mapa final'!$L$25="Media",'Mapa final'!$AI$25="Menor"),CONCATENATE("R",'Mapa final'!$B$25),"")</f>
        <v/>
      </c>
      <c r="Q28" s="239"/>
      <c r="R28" s="226" t="str">
        <f>IF(AND('Mapa final'!$L$120="Media",'Mapa final'!$AI$120="Menor"),CONCATENATE("R",'Mapa final'!$B$120),"")</f>
        <v/>
      </c>
      <c r="S28" s="239"/>
      <c r="T28" s="226" t="str">
        <f>IF(AND('Mapa final'!$L$126="Media",'Mapa final'!$AI$126="Menor"),CONCATENATE("R",'Mapa final'!$B$126),"")</f>
        <v/>
      </c>
      <c r="U28" s="227"/>
      <c r="V28" s="240" t="str">
        <f ca="1">IF(AND('Mapa final'!$L$25="Media",'Mapa final'!$AI$25="Moderado"),CONCATENATE("R",'Mapa final'!$B$25),"")</f>
        <v>RCONTROL FINANCIERO Y CONTABLE</v>
      </c>
      <c r="W28" s="239"/>
      <c r="X28" s="226" t="str">
        <f>IF(AND('Mapa final'!$L$120="Media",'Mapa final'!$AI$120="Moderado"),CONCATENATE("R",'Mapa final'!$B$120),"")</f>
        <v/>
      </c>
      <c r="Y28" s="239"/>
      <c r="Z28" s="226" t="str">
        <f>IF(AND('Mapa final'!$L$126="Media",'Mapa final'!$AI$126="Moderado"),CONCATENATE("R",'Mapa final'!$B$126),"")</f>
        <v/>
      </c>
      <c r="AA28" s="227"/>
      <c r="AB28" s="241" t="str">
        <f ca="1">IF(AND('Mapa final'!$L$25="Media",'Mapa final'!$AI$25="Mayor"),CONCATENATE("R",'Mapa final'!$B$25),"")</f>
        <v/>
      </c>
      <c r="AC28" s="239"/>
      <c r="AD28" s="242" t="str">
        <f>IF(AND('Mapa final'!$L$120="Media",'Mapa final'!$AI$120="Mayor"),CONCATENATE("R",'Mapa final'!$B$120),"")</f>
        <v/>
      </c>
      <c r="AE28" s="239"/>
      <c r="AF28" s="242" t="str">
        <f>IF(AND('Mapa final'!$L$126="Media",'Mapa final'!$AI$126="Mayor"),CONCATENATE("R",'Mapa final'!$B$126),"")</f>
        <v/>
      </c>
      <c r="AG28" s="227"/>
      <c r="AH28" s="243" t="str">
        <f ca="1">IF(AND('Mapa final'!$L$25="Media",'Mapa final'!$AI$25="Catastrófico"),CONCATENATE("R",'Mapa final'!$B$25),"")</f>
        <v/>
      </c>
      <c r="AI28" s="239"/>
      <c r="AJ28" s="244" t="str">
        <f>IF(AND('Mapa final'!$L$120="Media",'Mapa final'!$AI$120="Catastrófico"),CONCATENATE("R",'Mapa final'!$B$120),"")</f>
        <v/>
      </c>
      <c r="AK28" s="239"/>
      <c r="AL28" s="244" t="str">
        <f>IF(AND('Mapa final'!$L$126="Media",'Mapa final'!$AI$126="Catastrófico"),CONCATENATE("R",'Mapa final'!$B$126),"")</f>
        <v/>
      </c>
      <c r="AM28" s="227"/>
      <c r="AN28" s="1"/>
      <c r="AO28" s="267"/>
      <c r="AP28" s="170"/>
      <c r="AQ28" s="170"/>
      <c r="AR28" s="170"/>
      <c r="AS28" s="170"/>
      <c r="AT28" s="268"/>
      <c r="AU28" s="1"/>
      <c r="AV28" s="1"/>
      <c r="AW28" s="1"/>
      <c r="AX28" s="1"/>
      <c r="AY28" s="1"/>
      <c r="AZ28" s="1"/>
      <c r="BA28" s="1"/>
      <c r="BB28" s="1"/>
      <c r="BC28" s="1"/>
      <c r="BD28" s="1"/>
      <c r="BE28" s="1"/>
      <c r="BF28" s="1"/>
      <c r="BG28" s="1"/>
      <c r="BH28" s="1"/>
      <c r="BI28" s="1"/>
    </row>
    <row r="29" spans="1:61" ht="15.75" customHeight="1" x14ac:dyDescent="0.25">
      <c r="A29" s="1"/>
      <c r="B29" s="258"/>
      <c r="C29" s="170"/>
      <c r="D29" s="171"/>
      <c r="E29" s="248"/>
      <c r="F29" s="249"/>
      <c r="G29" s="249"/>
      <c r="H29" s="249"/>
      <c r="I29" s="252"/>
      <c r="J29" s="235"/>
      <c r="K29" s="232"/>
      <c r="L29" s="228"/>
      <c r="M29" s="232"/>
      <c r="N29" s="228"/>
      <c r="O29" s="229"/>
      <c r="P29" s="248"/>
      <c r="Q29" s="250"/>
      <c r="R29" s="251"/>
      <c r="S29" s="250"/>
      <c r="T29" s="251"/>
      <c r="U29" s="252"/>
      <c r="V29" s="248"/>
      <c r="W29" s="250"/>
      <c r="X29" s="251"/>
      <c r="Y29" s="250"/>
      <c r="Z29" s="251"/>
      <c r="AA29" s="252"/>
      <c r="AB29" s="248"/>
      <c r="AC29" s="250"/>
      <c r="AD29" s="251"/>
      <c r="AE29" s="250"/>
      <c r="AF29" s="251"/>
      <c r="AG29" s="252"/>
      <c r="AH29" s="248"/>
      <c r="AI29" s="250"/>
      <c r="AJ29" s="251"/>
      <c r="AK29" s="250"/>
      <c r="AL29" s="251"/>
      <c r="AM29" s="252"/>
      <c r="AN29" s="1"/>
      <c r="AO29" s="269"/>
      <c r="AP29" s="270"/>
      <c r="AQ29" s="270"/>
      <c r="AR29" s="270"/>
      <c r="AS29" s="270"/>
      <c r="AT29" s="271"/>
      <c r="AU29" s="1"/>
      <c r="AV29" s="1"/>
      <c r="AW29" s="1"/>
      <c r="AX29" s="1"/>
      <c r="AY29" s="1"/>
      <c r="AZ29" s="1"/>
      <c r="BA29" s="1"/>
      <c r="BB29" s="1"/>
      <c r="BC29" s="1"/>
      <c r="BD29" s="1"/>
      <c r="BE29" s="1"/>
      <c r="BF29" s="1"/>
      <c r="BG29" s="1"/>
      <c r="BH29" s="1"/>
      <c r="BI29" s="1"/>
    </row>
    <row r="30" spans="1:61" ht="15.75" customHeight="1" x14ac:dyDescent="0.25">
      <c r="A30" s="1"/>
      <c r="B30" s="258"/>
      <c r="C30" s="170"/>
      <c r="D30" s="171"/>
      <c r="E30" s="246" t="s">
        <v>99</v>
      </c>
      <c r="F30" s="247"/>
      <c r="G30" s="247"/>
      <c r="H30" s="247"/>
      <c r="I30" s="247"/>
      <c r="J30" s="263" t="str">
        <f ca="1">IF(AND('Mapa final'!$L$10="Baja",'Mapa final'!$AI$10="Leve"),CONCATENATE("R",'Mapa final'!$B$10),"")</f>
        <v/>
      </c>
      <c r="K30" s="231"/>
      <c r="L30" s="262" t="str">
        <f ca="1">IF(AND('Mapa final'!$L$12="Baja",'Mapa final'!$AI$12="Leve"),CONCATENATE("R",'Mapa final'!$B$12),"")</f>
        <v/>
      </c>
      <c r="M30" s="231"/>
      <c r="N30" s="262" t="str">
        <f ca="1">IF(AND('Mapa final'!$L$14="Baja",'Mapa final'!$AI$14="Leve"),CONCATENATE("R",'Mapa final'!$B$14),"")</f>
        <v/>
      </c>
      <c r="O30" s="233"/>
      <c r="P30" s="230" t="str">
        <f ca="1">IF(AND('Mapa final'!$L$10="Baja",'Mapa final'!$AI$10="Menor"),CONCATENATE("R",'Mapa final'!$B$10),"")</f>
        <v/>
      </c>
      <c r="Q30" s="231"/>
      <c r="R30" s="230" t="str">
        <f ca="1">IF(AND('Mapa final'!$L$12="Baja",'Mapa final'!$AI$12="Menor"),CONCATENATE("R",'Mapa final'!$B$12),"")</f>
        <v/>
      </c>
      <c r="S30" s="231"/>
      <c r="T30" s="230" t="str">
        <f ca="1">IF(AND('Mapa final'!$L$14="Baja",'Mapa final'!$AI$14="Menor"),CONCATENATE("R",'Mapa final'!$B$14),"")</f>
        <v/>
      </c>
      <c r="U30" s="233"/>
      <c r="V30" s="245" t="str">
        <f ca="1">IF(AND('Mapa final'!$L$10="Baja",'Mapa final'!$AI$10="Moderado"),CONCATENATE("R",'Mapa final'!$B$10),"")</f>
        <v/>
      </c>
      <c r="W30" s="231"/>
      <c r="X30" s="230" t="str">
        <f ca="1">IF(AND('Mapa final'!$L$12="Baja",'Mapa final'!$AI$12="Moderado"),CONCATENATE("R",'Mapa final'!$B$12),"")</f>
        <v/>
      </c>
      <c r="Y30" s="231"/>
      <c r="Z30" s="230" t="str">
        <f ca="1">IF(AND('Mapa final'!$L$14="Baja",'Mapa final'!$AI$14="Moderado"),CONCATENATE("R",'Mapa final'!$B$14),"")</f>
        <v/>
      </c>
      <c r="AA30" s="233"/>
      <c r="AB30" s="234" t="str">
        <f ca="1">IF(AND('Mapa final'!$L$10="Baja",'Mapa final'!$AI$10="Mayor"),CONCATENATE("R",'Mapa final'!$B$10),"")</f>
        <v/>
      </c>
      <c r="AC30" s="231"/>
      <c r="AD30" s="236" t="str">
        <f ca="1">IF(AND('Mapa final'!$L$12="Baja",'Mapa final'!$AI$12="Mayor"),CONCATENATE("R",'Mapa final'!$B$12),"")</f>
        <v/>
      </c>
      <c r="AE30" s="231"/>
      <c r="AF30" s="236" t="str">
        <f ca="1">IF(AND('Mapa final'!$L$14="Baja",'Mapa final'!$AI$14="Mayor"),CONCATENATE("R",'Mapa final'!$B$14),"")</f>
        <v/>
      </c>
      <c r="AG30" s="233"/>
      <c r="AH30" s="253" t="str">
        <f ca="1">IF(AND('Mapa final'!$L$10="Baja",'Mapa final'!$AI$10="Catastrófico"),CONCATENATE("R",'Mapa final'!$B$10),"")</f>
        <v/>
      </c>
      <c r="AI30" s="231"/>
      <c r="AJ30" s="237" t="str">
        <f ca="1">IF(AND('Mapa final'!$L$12="Baja",'Mapa final'!$AI$12="Catastrófico"),CONCATENATE("R",'Mapa final'!$B$12),"")</f>
        <v/>
      </c>
      <c r="AK30" s="231"/>
      <c r="AL30" s="237" t="str">
        <f ca="1">IF(AND('Mapa final'!$L$14="Baja",'Mapa final'!$AI$14="Catastrófico"),CONCATENATE("R",'Mapa final'!$B$14),"")</f>
        <v/>
      </c>
      <c r="AM30" s="233"/>
      <c r="AN30" s="1"/>
      <c r="AO30" s="272" t="s">
        <v>100</v>
      </c>
      <c r="AP30" s="265"/>
      <c r="AQ30" s="265"/>
      <c r="AR30" s="265"/>
      <c r="AS30" s="265"/>
      <c r="AT30" s="266"/>
      <c r="AU30" s="1"/>
      <c r="AV30" s="1"/>
      <c r="AW30" s="1"/>
      <c r="AX30" s="1"/>
      <c r="AY30" s="1"/>
      <c r="AZ30" s="1"/>
      <c r="BA30" s="1"/>
      <c r="BB30" s="1"/>
      <c r="BC30" s="1"/>
      <c r="BD30" s="1"/>
      <c r="BE30" s="1"/>
      <c r="BF30" s="1"/>
      <c r="BG30" s="1"/>
      <c r="BH30" s="1"/>
      <c r="BI30" s="1"/>
    </row>
    <row r="31" spans="1:61" ht="15.75" customHeight="1" x14ac:dyDescent="0.25">
      <c r="A31" s="1"/>
      <c r="B31" s="258"/>
      <c r="C31" s="170"/>
      <c r="D31" s="171"/>
      <c r="E31" s="182"/>
      <c r="F31" s="170"/>
      <c r="G31" s="170"/>
      <c r="H31" s="170"/>
      <c r="I31" s="170"/>
      <c r="J31" s="235"/>
      <c r="K31" s="232"/>
      <c r="L31" s="228"/>
      <c r="M31" s="232"/>
      <c r="N31" s="228"/>
      <c r="O31" s="229"/>
      <c r="P31" s="228"/>
      <c r="Q31" s="232"/>
      <c r="R31" s="228"/>
      <c r="S31" s="232"/>
      <c r="T31" s="228"/>
      <c r="U31" s="229"/>
      <c r="V31" s="235"/>
      <c r="W31" s="232"/>
      <c r="X31" s="228"/>
      <c r="Y31" s="232"/>
      <c r="Z31" s="228"/>
      <c r="AA31" s="229"/>
      <c r="AB31" s="235"/>
      <c r="AC31" s="232"/>
      <c r="AD31" s="228"/>
      <c r="AE31" s="232"/>
      <c r="AF31" s="228"/>
      <c r="AG31" s="229"/>
      <c r="AH31" s="235"/>
      <c r="AI31" s="232"/>
      <c r="AJ31" s="228"/>
      <c r="AK31" s="232"/>
      <c r="AL31" s="228"/>
      <c r="AM31" s="229"/>
      <c r="AN31" s="1"/>
      <c r="AO31" s="267"/>
      <c r="AP31" s="170"/>
      <c r="AQ31" s="170"/>
      <c r="AR31" s="170"/>
      <c r="AS31" s="170"/>
      <c r="AT31" s="268"/>
      <c r="AU31" s="1"/>
      <c r="AV31" s="1"/>
      <c r="AW31" s="1"/>
      <c r="AX31" s="1"/>
      <c r="AY31" s="1"/>
      <c r="AZ31" s="1"/>
      <c r="BA31" s="1"/>
      <c r="BB31" s="1"/>
      <c r="BC31" s="1"/>
      <c r="BD31" s="1"/>
      <c r="BE31" s="1"/>
      <c r="BF31" s="1"/>
      <c r="BG31" s="1"/>
      <c r="BH31" s="1"/>
      <c r="BI31" s="1"/>
    </row>
    <row r="32" spans="1:61" ht="15.75" customHeight="1" x14ac:dyDescent="0.25">
      <c r="A32" s="1"/>
      <c r="B32" s="258"/>
      <c r="C32" s="170"/>
      <c r="D32" s="171"/>
      <c r="E32" s="182"/>
      <c r="F32" s="170"/>
      <c r="G32" s="170"/>
      <c r="H32" s="170"/>
      <c r="I32" s="170"/>
      <c r="J32" s="254" t="str">
        <f ca="1">IF(AND('Mapa final'!$L$15="Baja",'Mapa final'!$AI$15="Leve"),CONCATENATE("R",'Mapa final'!$B$15),"")</f>
        <v/>
      </c>
      <c r="K32" s="239"/>
      <c r="L32" s="238" t="str">
        <f ca="1">IF(AND('Mapa final'!$L$18="Baja",'Mapa final'!$AI$18="Leve"),CONCATENATE("R",'Mapa final'!$B$18),"")</f>
        <v/>
      </c>
      <c r="M32" s="239"/>
      <c r="N32" s="238" t="str">
        <f ca="1">IF(AND('Mapa final'!$L$19="Baja",'Mapa final'!$AI$19="Leve"),CONCATENATE("R",'Mapa final'!$B$19),"")</f>
        <v/>
      </c>
      <c r="O32" s="227"/>
      <c r="P32" s="226" t="str">
        <f ca="1">IF(AND('Mapa final'!$L$15="Baja",'Mapa final'!$AI$15="Menor"),CONCATENATE("R",'Mapa final'!$B$15),"")</f>
        <v/>
      </c>
      <c r="Q32" s="239"/>
      <c r="R32" s="226" t="str">
        <f ca="1">IF(AND('Mapa final'!$L$18="Baja",'Mapa final'!$AI$18="Menor"),CONCATENATE("R",'Mapa final'!$B$18),"")</f>
        <v>RDIRECCIONAMIENTO ESTRATÉGICO</v>
      </c>
      <c r="S32" s="239"/>
      <c r="T32" s="226" t="str">
        <f ca="1">IF(AND('Mapa final'!$L$19="Baja",'Mapa final'!$AI$19="Menor"),CONCATENATE("R",'Mapa final'!$B$19),"")</f>
        <v/>
      </c>
      <c r="U32" s="227"/>
      <c r="V32" s="240" t="str">
        <f ca="1">IF(AND('Mapa final'!$L$15="Baja",'Mapa final'!$AI$15="Moderado"),CONCATENATE("R",'Mapa final'!$B$15),"")</f>
        <v/>
      </c>
      <c r="W32" s="239"/>
      <c r="X32" s="226" t="str">
        <f ca="1">IF(AND('Mapa final'!$L$18="Baja",'Mapa final'!$AI$18="Moderado"),CONCATENATE("R",'Mapa final'!$B$18),"")</f>
        <v/>
      </c>
      <c r="Y32" s="239"/>
      <c r="Z32" s="226" t="str">
        <f ca="1">IF(AND('Mapa final'!$L$19="Baja",'Mapa final'!$AI$19="Moderado"),CONCATENATE("R",'Mapa final'!$B$19),"")</f>
        <v/>
      </c>
      <c r="AA32" s="227"/>
      <c r="AB32" s="241" t="str">
        <f ca="1">IF(AND('Mapa final'!$L$15="Baja",'Mapa final'!$AI$15="Mayor"),CONCATENATE("R",'Mapa final'!$B$15),"")</f>
        <v/>
      </c>
      <c r="AC32" s="239"/>
      <c r="AD32" s="242" t="str">
        <f ca="1">IF(AND('Mapa final'!$L$18="Baja",'Mapa final'!$AI$18="Mayor"),CONCATENATE("R",'Mapa final'!$B$18),"")</f>
        <v/>
      </c>
      <c r="AE32" s="239"/>
      <c r="AF32" s="242" t="str">
        <f ca="1">IF(AND('Mapa final'!$L$19="Baja",'Mapa final'!$AI$19="Mayor"),CONCATENATE("R",'Mapa final'!$B$19),"")</f>
        <v/>
      </c>
      <c r="AG32" s="227"/>
      <c r="AH32" s="243" t="str">
        <f ca="1">IF(AND('Mapa final'!$L$15="Baja",'Mapa final'!$AI$15="Catastrófico"),CONCATENATE("R",'Mapa final'!$B$15),"")</f>
        <v/>
      </c>
      <c r="AI32" s="239"/>
      <c r="AJ32" s="244" t="str">
        <f ca="1">IF(AND('Mapa final'!$L$18="Baja",'Mapa final'!$AI$18="Catastrófico"),CONCATENATE("R",'Mapa final'!$B$18),"")</f>
        <v/>
      </c>
      <c r="AK32" s="239"/>
      <c r="AL32" s="244" t="str">
        <f ca="1">IF(AND('Mapa final'!$L$19="Baja",'Mapa final'!$AI$19="Catastrófico"),CONCATENATE("R",'Mapa final'!$B$19),"")</f>
        <v/>
      </c>
      <c r="AM32" s="227"/>
      <c r="AN32" s="1"/>
      <c r="AO32" s="267"/>
      <c r="AP32" s="170"/>
      <c r="AQ32" s="170"/>
      <c r="AR32" s="170"/>
      <c r="AS32" s="170"/>
      <c r="AT32" s="268"/>
      <c r="AU32" s="1"/>
      <c r="AV32" s="1"/>
      <c r="AW32" s="1"/>
      <c r="AX32" s="1"/>
      <c r="AY32" s="1"/>
      <c r="AZ32" s="1"/>
      <c r="BA32" s="1"/>
      <c r="BB32" s="1"/>
      <c r="BC32" s="1"/>
      <c r="BD32" s="1"/>
      <c r="BE32" s="1"/>
      <c r="BF32" s="1"/>
      <c r="BG32" s="1"/>
      <c r="BH32" s="1"/>
      <c r="BI32" s="1"/>
    </row>
    <row r="33" spans="1:61" ht="15.75" customHeight="1" x14ac:dyDescent="0.25">
      <c r="A33" s="1"/>
      <c r="B33" s="258"/>
      <c r="C33" s="170"/>
      <c r="D33" s="171"/>
      <c r="E33" s="182"/>
      <c r="F33" s="170"/>
      <c r="G33" s="170"/>
      <c r="H33" s="170"/>
      <c r="I33" s="170"/>
      <c r="J33" s="235"/>
      <c r="K33" s="232"/>
      <c r="L33" s="228"/>
      <c r="M33" s="232"/>
      <c r="N33" s="228"/>
      <c r="O33" s="229"/>
      <c r="P33" s="228"/>
      <c r="Q33" s="232"/>
      <c r="R33" s="228"/>
      <c r="S33" s="232"/>
      <c r="T33" s="228"/>
      <c r="U33" s="229"/>
      <c r="V33" s="235"/>
      <c r="W33" s="232"/>
      <c r="X33" s="228"/>
      <c r="Y33" s="232"/>
      <c r="Z33" s="228"/>
      <c r="AA33" s="229"/>
      <c r="AB33" s="235"/>
      <c r="AC33" s="232"/>
      <c r="AD33" s="228"/>
      <c r="AE33" s="232"/>
      <c r="AF33" s="228"/>
      <c r="AG33" s="229"/>
      <c r="AH33" s="235"/>
      <c r="AI33" s="232"/>
      <c r="AJ33" s="228"/>
      <c r="AK33" s="232"/>
      <c r="AL33" s="228"/>
      <c r="AM33" s="229"/>
      <c r="AN33" s="1"/>
      <c r="AO33" s="267"/>
      <c r="AP33" s="170"/>
      <c r="AQ33" s="170"/>
      <c r="AR33" s="170"/>
      <c r="AS33" s="170"/>
      <c r="AT33" s="268"/>
      <c r="AU33" s="1"/>
      <c r="AV33" s="1"/>
      <c r="AW33" s="1"/>
      <c r="AX33" s="1"/>
      <c r="AY33" s="1"/>
      <c r="AZ33" s="1"/>
      <c r="BA33" s="1"/>
      <c r="BB33" s="1"/>
      <c r="BC33" s="1"/>
      <c r="BD33" s="1"/>
      <c r="BE33" s="1"/>
      <c r="BF33" s="1"/>
      <c r="BG33" s="1"/>
      <c r="BH33" s="1"/>
      <c r="BI33" s="1"/>
    </row>
    <row r="34" spans="1:61" ht="15.75" customHeight="1" x14ac:dyDescent="0.25">
      <c r="A34" s="1"/>
      <c r="B34" s="258"/>
      <c r="C34" s="170"/>
      <c r="D34" s="171"/>
      <c r="E34" s="182"/>
      <c r="F34" s="170"/>
      <c r="G34" s="170"/>
      <c r="H34" s="170"/>
      <c r="I34" s="170"/>
      <c r="J34" s="254" t="str">
        <f ca="1">IF(AND('Mapa final'!$L$21="Baja",'Mapa final'!$AI$21="Leve"),CONCATENATE("R",'Mapa final'!$B$21),"")</f>
        <v/>
      </c>
      <c r="K34" s="239"/>
      <c r="L34" s="238" t="str">
        <f ca="1">IF(AND('Mapa final'!$L$23="Baja",'Mapa final'!$AI$23="Leve"),CONCATENATE("R",'Mapa final'!$B$23),"")</f>
        <v/>
      </c>
      <c r="M34" s="239"/>
      <c r="N34" s="238" t="str">
        <f ca="1">IF(AND('Mapa final'!$L$24="Baja",'Mapa final'!$AI$24="Leve"),CONCATENATE("R",'Mapa final'!$B$24),"")</f>
        <v/>
      </c>
      <c r="O34" s="227"/>
      <c r="P34" s="226" t="str">
        <f ca="1">IF(AND('Mapa final'!$L$21="Baja",'Mapa final'!$AI$21="Menor"),CONCATENATE("R",'Mapa final'!$B$21),"")</f>
        <v/>
      </c>
      <c r="Q34" s="239"/>
      <c r="R34" s="226" t="str">
        <f ca="1">IF(AND('Mapa final'!$L$23="Baja",'Mapa final'!$AI$23="Menor"),CONCATENATE("R",'Mapa final'!$B$23),"")</f>
        <v/>
      </c>
      <c r="S34" s="239"/>
      <c r="T34" s="226" t="str">
        <f ca="1">IF(AND('Mapa final'!$L$24="Baja",'Mapa final'!$AI$24="Menor"),CONCATENATE("R",'Mapa final'!$B$24),"")</f>
        <v/>
      </c>
      <c r="U34" s="227"/>
      <c r="V34" s="240" t="str">
        <f ca="1">IF(AND('Mapa final'!$L$21="Baja",'Mapa final'!$AI$21="Moderado"),CONCATENATE("R",'Mapa final'!$B$21),"")</f>
        <v/>
      </c>
      <c r="W34" s="239"/>
      <c r="X34" s="226" t="str">
        <f ca="1">IF(AND('Mapa final'!$L$23="Baja",'Mapa final'!$AI$23="Moderado"),CONCATENATE("R",'Mapa final'!$B$23),"")</f>
        <v/>
      </c>
      <c r="Y34" s="239"/>
      <c r="Z34" s="226" t="str">
        <f ca="1">IF(AND('Mapa final'!$L$24="Baja",'Mapa final'!$AI$24="Moderado"),CONCATENATE("R",'Mapa final'!$B$24),"")</f>
        <v/>
      </c>
      <c r="AA34" s="227"/>
      <c r="AB34" s="241" t="str">
        <f ca="1">IF(AND('Mapa final'!$L$21="Baja",'Mapa final'!$AI$21="Mayor"),CONCATENATE("R",'Mapa final'!$B$21),"")</f>
        <v/>
      </c>
      <c r="AC34" s="239"/>
      <c r="AD34" s="242" t="str">
        <f ca="1">IF(AND('Mapa final'!$L$23="Baja",'Mapa final'!$AI$23="Mayor"),CONCATENATE("R",'Mapa final'!$B$23),"")</f>
        <v/>
      </c>
      <c r="AE34" s="239"/>
      <c r="AF34" s="242" t="str">
        <f ca="1">IF(AND('Mapa final'!$L$24="Baja",'Mapa final'!$AI$24="Mayor"),CONCATENATE("R",'Mapa final'!$B$24),"")</f>
        <v/>
      </c>
      <c r="AG34" s="227"/>
      <c r="AH34" s="243" t="str">
        <f ca="1">IF(AND('Mapa final'!$L$21="Baja",'Mapa final'!$AI$21="Catastrófico"),CONCATENATE("R",'Mapa final'!$B$21),"")</f>
        <v/>
      </c>
      <c r="AI34" s="239"/>
      <c r="AJ34" s="244" t="str">
        <f ca="1">IF(AND('Mapa final'!$L$23="Baja",'Mapa final'!$AI$23="Catastrófico"),CONCATENATE("R",'Mapa final'!$B$23),"")</f>
        <v/>
      </c>
      <c r="AK34" s="239"/>
      <c r="AL34" s="244" t="str">
        <f ca="1">IF(AND('Mapa final'!$L$24="Baja",'Mapa final'!$AI$24="Catastrófico"),CONCATENATE("R",'Mapa final'!$B$24),"")</f>
        <v/>
      </c>
      <c r="AM34" s="227"/>
      <c r="AN34" s="1"/>
      <c r="AO34" s="267"/>
      <c r="AP34" s="170"/>
      <c r="AQ34" s="170"/>
      <c r="AR34" s="170"/>
      <c r="AS34" s="170"/>
      <c r="AT34" s="268"/>
      <c r="AU34" s="1"/>
      <c r="AV34" s="1"/>
      <c r="AW34" s="1"/>
      <c r="AX34" s="1"/>
      <c r="AY34" s="1"/>
      <c r="AZ34" s="1"/>
      <c r="BA34" s="1"/>
      <c r="BB34" s="1"/>
      <c r="BC34" s="1"/>
      <c r="BD34" s="1"/>
      <c r="BE34" s="1"/>
      <c r="BF34" s="1"/>
      <c r="BG34" s="1"/>
      <c r="BH34" s="1"/>
      <c r="BI34" s="1"/>
    </row>
    <row r="35" spans="1:61" ht="15.75" customHeight="1" x14ac:dyDescent="0.25">
      <c r="A35" s="1"/>
      <c r="B35" s="258"/>
      <c r="C35" s="170"/>
      <c r="D35" s="171"/>
      <c r="E35" s="182"/>
      <c r="F35" s="170"/>
      <c r="G35" s="170"/>
      <c r="H35" s="170"/>
      <c r="I35" s="170"/>
      <c r="J35" s="235"/>
      <c r="K35" s="232"/>
      <c r="L35" s="228"/>
      <c r="M35" s="232"/>
      <c r="N35" s="228"/>
      <c r="O35" s="229"/>
      <c r="P35" s="228"/>
      <c r="Q35" s="232"/>
      <c r="R35" s="228"/>
      <c r="S35" s="232"/>
      <c r="T35" s="228"/>
      <c r="U35" s="229"/>
      <c r="V35" s="235"/>
      <c r="W35" s="232"/>
      <c r="X35" s="228"/>
      <c r="Y35" s="232"/>
      <c r="Z35" s="228"/>
      <c r="AA35" s="229"/>
      <c r="AB35" s="235"/>
      <c r="AC35" s="232"/>
      <c r="AD35" s="228"/>
      <c r="AE35" s="232"/>
      <c r="AF35" s="228"/>
      <c r="AG35" s="229"/>
      <c r="AH35" s="235"/>
      <c r="AI35" s="232"/>
      <c r="AJ35" s="228"/>
      <c r="AK35" s="232"/>
      <c r="AL35" s="228"/>
      <c r="AM35" s="229"/>
      <c r="AN35" s="1"/>
      <c r="AO35" s="267"/>
      <c r="AP35" s="170"/>
      <c r="AQ35" s="170"/>
      <c r="AR35" s="170"/>
      <c r="AS35" s="170"/>
      <c r="AT35" s="268"/>
      <c r="AU35" s="1"/>
      <c r="AV35" s="1"/>
      <c r="AW35" s="1"/>
      <c r="AX35" s="1"/>
      <c r="AY35" s="1"/>
      <c r="AZ35" s="1"/>
      <c r="BA35" s="1"/>
      <c r="BB35" s="1"/>
      <c r="BC35" s="1"/>
      <c r="BD35" s="1"/>
      <c r="BE35" s="1"/>
      <c r="BF35" s="1"/>
      <c r="BG35" s="1"/>
      <c r="BH35" s="1"/>
      <c r="BI35" s="1"/>
    </row>
    <row r="36" spans="1:61" ht="15.75" customHeight="1" x14ac:dyDescent="0.25">
      <c r="A36" s="1"/>
      <c r="B36" s="258"/>
      <c r="C36" s="170"/>
      <c r="D36" s="171"/>
      <c r="E36" s="182"/>
      <c r="F36" s="170"/>
      <c r="G36" s="170"/>
      <c r="H36" s="170"/>
      <c r="I36" s="170"/>
      <c r="J36" s="254" t="str">
        <f ca="1">IF(AND('Mapa final'!$L$25="Baja",'Mapa final'!$AI$25="Leve"),CONCATENATE("R",'Mapa final'!$B$25),"")</f>
        <v/>
      </c>
      <c r="K36" s="239"/>
      <c r="L36" s="238" t="str">
        <f>IF(AND('Mapa final'!$L$120="Baja",'Mapa final'!$AI$120="Leve"),CONCATENATE("R",'Mapa final'!$B$120),"")</f>
        <v/>
      </c>
      <c r="M36" s="239"/>
      <c r="N36" s="238" t="str">
        <f>IF(AND('Mapa final'!$L$126="Baja",'Mapa final'!$AI$126="Leve"),CONCATENATE("R",'Mapa final'!$B$126),"")</f>
        <v/>
      </c>
      <c r="O36" s="227"/>
      <c r="P36" s="226" t="str">
        <f ca="1">IF(AND('Mapa final'!$L$25="Baja",'Mapa final'!$AI$25="Menor"),CONCATENATE("R",'Mapa final'!$B$25),"")</f>
        <v/>
      </c>
      <c r="Q36" s="239"/>
      <c r="R36" s="226" t="str">
        <f>IF(AND('Mapa final'!$L$120="Baja",'Mapa final'!$AI$120="Menor"),CONCATENATE("R",'Mapa final'!$B$120),"")</f>
        <v/>
      </c>
      <c r="S36" s="239"/>
      <c r="T36" s="226" t="str">
        <f>IF(AND('Mapa final'!$L$126="Baja",'Mapa final'!$AI$126="Menor"),CONCATENATE("R",'Mapa final'!$B$126),"")</f>
        <v/>
      </c>
      <c r="U36" s="227"/>
      <c r="V36" s="240" t="str">
        <f ca="1">IF(AND('Mapa final'!$L$25="Baja",'Mapa final'!$AI$25="Moderado"),CONCATENATE("R",'Mapa final'!$B$25),"")</f>
        <v/>
      </c>
      <c r="W36" s="239"/>
      <c r="X36" s="226" t="str">
        <f>IF(AND('Mapa final'!$L$120="Baja",'Mapa final'!$AI$120="Moderado"),CONCATENATE("R",'Mapa final'!$B$120),"")</f>
        <v/>
      </c>
      <c r="Y36" s="239"/>
      <c r="Z36" s="226" t="str">
        <f>IF(AND('Mapa final'!$L$126="Baja",'Mapa final'!$AI$126="Moderado"),CONCATENATE("R",'Mapa final'!$B$126),"")</f>
        <v/>
      </c>
      <c r="AA36" s="227"/>
      <c r="AB36" s="241" t="str">
        <f ca="1">IF(AND('Mapa final'!$L$25="Baja",'Mapa final'!$AI$25="Mayor"),CONCATENATE("R",'Mapa final'!$B$25),"")</f>
        <v/>
      </c>
      <c r="AC36" s="239"/>
      <c r="AD36" s="242" t="str">
        <f>IF(AND('Mapa final'!$L$120="Baja",'Mapa final'!$AI$120="Mayor"),CONCATENATE("R",'Mapa final'!$B$120),"")</f>
        <v/>
      </c>
      <c r="AE36" s="239"/>
      <c r="AF36" s="242" t="str">
        <f>IF(AND('Mapa final'!$L$126="Baja",'Mapa final'!$AI$126="Mayor"),CONCATENATE("R",'Mapa final'!$B$126),"")</f>
        <v/>
      </c>
      <c r="AG36" s="227"/>
      <c r="AH36" s="243" t="str">
        <f ca="1">IF(AND('Mapa final'!$L$25="Baja",'Mapa final'!$AI$25="Catastrófico"),CONCATENATE("R",'Mapa final'!$B$25),"")</f>
        <v/>
      </c>
      <c r="AI36" s="239"/>
      <c r="AJ36" s="244" t="str">
        <f>IF(AND('Mapa final'!$L$120="Baja",'Mapa final'!$AI$120="Catastrófico"),CONCATENATE("R",'Mapa final'!$B$120),"")</f>
        <v/>
      </c>
      <c r="AK36" s="239"/>
      <c r="AL36" s="244" t="str">
        <f>IF(AND('Mapa final'!$L$126="Baja",'Mapa final'!$AI$126="Catastrófico"),CONCATENATE("R",'Mapa final'!$B$126),"")</f>
        <v/>
      </c>
      <c r="AM36" s="227"/>
      <c r="AN36" s="1"/>
      <c r="AO36" s="267"/>
      <c r="AP36" s="170"/>
      <c r="AQ36" s="170"/>
      <c r="AR36" s="170"/>
      <c r="AS36" s="170"/>
      <c r="AT36" s="268"/>
      <c r="AU36" s="1"/>
      <c r="AV36" s="1"/>
      <c r="AW36" s="1"/>
      <c r="AX36" s="1"/>
      <c r="AY36" s="1"/>
      <c r="AZ36" s="1"/>
      <c r="BA36" s="1"/>
      <c r="BB36" s="1"/>
      <c r="BC36" s="1"/>
      <c r="BD36" s="1"/>
      <c r="BE36" s="1"/>
      <c r="BF36" s="1"/>
      <c r="BG36" s="1"/>
      <c r="BH36" s="1"/>
      <c r="BI36" s="1"/>
    </row>
    <row r="37" spans="1:61" ht="15.75" customHeight="1" x14ac:dyDescent="0.25">
      <c r="A37" s="1"/>
      <c r="B37" s="258"/>
      <c r="C37" s="170"/>
      <c r="D37" s="171"/>
      <c r="E37" s="248"/>
      <c r="F37" s="249"/>
      <c r="G37" s="249"/>
      <c r="H37" s="249"/>
      <c r="I37" s="249"/>
      <c r="J37" s="248"/>
      <c r="K37" s="250"/>
      <c r="L37" s="251"/>
      <c r="M37" s="250"/>
      <c r="N37" s="251"/>
      <c r="O37" s="252"/>
      <c r="P37" s="251"/>
      <c r="Q37" s="250"/>
      <c r="R37" s="251"/>
      <c r="S37" s="250"/>
      <c r="T37" s="251"/>
      <c r="U37" s="252"/>
      <c r="V37" s="248"/>
      <c r="W37" s="250"/>
      <c r="X37" s="251"/>
      <c r="Y37" s="250"/>
      <c r="Z37" s="251"/>
      <c r="AA37" s="252"/>
      <c r="AB37" s="248"/>
      <c r="AC37" s="250"/>
      <c r="AD37" s="251"/>
      <c r="AE37" s="250"/>
      <c r="AF37" s="251"/>
      <c r="AG37" s="252"/>
      <c r="AH37" s="248"/>
      <c r="AI37" s="250"/>
      <c r="AJ37" s="251"/>
      <c r="AK37" s="250"/>
      <c r="AL37" s="251"/>
      <c r="AM37" s="252"/>
      <c r="AN37" s="1"/>
      <c r="AO37" s="269"/>
      <c r="AP37" s="270"/>
      <c r="AQ37" s="270"/>
      <c r="AR37" s="270"/>
      <c r="AS37" s="270"/>
      <c r="AT37" s="271"/>
      <c r="AU37" s="1"/>
      <c r="AV37" s="1"/>
      <c r="AW37" s="1"/>
      <c r="AX37" s="1"/>
      <c r="AY37" s="1"/>
      <c r="AZ37" s="1"/>
      <c r="BA37" s="1"/>
      <c r="BB37" s="1"/>
      <c r="BC37" s="1"/>
      <c r="BD37" s="1"/>
      <c r="BE37" s="1"/>
      <c r="BF37" s="1"/>
      <c r="BG37" s="1"/>
      <c r="BH37" s="1"/>
      <c r="BI37" s="1"/>
    </row>
    <row r="38" spans="1:61" ht="15.75" customHeight="1" x14ac:dyDescent="0.25">
      <c r="A38" s="1"/>
      <c r="B38" s="258"/>
      <c r="C38" s="170"/>
      <c r="D38" s="171"/>
      <c r="E38" s="246" t="s">
        <v>101</v>
      </c>
      <c r="F38" s="247"/>
      <c r="G38" s="247"/>
      <c r="H38" s="247"/>
      <c r="I38" s="233"/>
      <c r="J38" s="263" t="str">
        <f ca="1">IF(AND('Mapa final'!$L$10="Muy Baja",'Mapa final'!$AI$10="Leve"),CONCATENATE("R",'Mapa final'!$B$10),"")</f>
        <v/>
      </c>
      <c r="K38" s="231"/>
      <c r="L38" s="262" t="str">
        <f ca="1">IF(AND('Mapa final'!$L$12="Muy Baja",'Mapa final'!$AI$12="Leve"),CONCATENATE("R",'Mapa final'!$B$12),"")</f>
        <v/>
      </c>
      <c r="M38" s="231"/>
      <c r="N38" s="262" t="str">
        <f ca="1">IF(AND('Mapa final'!$L$14="Muy Baja",'Mapa final'!$AI$14="Leve"),CONCATENATE("R",'Mapa final'!$B$14),"")</f>
        <v/>
      </c>
      <c r="O38" s="233"/>
      <c r="P38" s="263" t="str">
        <f ca="1">IF(AND('Mapa final'!$L$10="Muy Baja",'Mapa final'!$AI$10="Menor"),CONCATENATE("R",'Mapa final'!$B$10),"")</f>
        <v/>
      </c>
      <c r="Q38" s="231"/>
      <c r="R38" s="262" t="str">
        <f ca="1">IF(AND('Mapa final'!$L$12="Muy Baja",'Mapa final'!$AI$12="Menor"),CONCATENATE("R",'Mapa final'!$B$12),"")</f>
        <v/>
      </c>
      <c r="S38" s="231"/>
      <c r="T38" s="262" t="str">
        <f ca="1">IF(AND('Mapa final'!$L$14="Muy Baja",'Mapa final'!$AI$14="Menor"),CONCATENATE("R",'Mapa final'!$B$14),"")</f>
        <v/>
      </c>
      <c r="U38" s="233"/>
      <c r="V38" s="245" t="str">
        <f ca="1">IF(AND('Mapa final'!$L$10="Muy Baja",'Mapa final'!$AI$10="Moderado"),CONCATENATE("R",'Mapa final'!$B$10),"")</f>
        <v/>
      </c>
      <c r="W38" s="231"/>
      <c r="X38" s="230" t="str">
        <f ca="1">IF(AND('Mapa final'!$L$12="Muy Baja",'Mapa final'!$AI$12="Moderado"),CONCATENATE("R",'Mapa final'!$B$12),"")</f>
        <v/>
      </c>
      <c r="Y38" s="231"/>
      <c r="Z38" s="230" t="str">
        <f ca="1">IF(AND('Mapa final'!$L$14="Muy Baja",'Mapa final'!$AI$14="Moderado"),CONCATENATE("R",'Mapa final'!$B$14),"")</f>
        <v/>
      </c>
      <c r="AA38" s="233"/>
      <c r="AB38" s="234" t="str">
        <f ca="1">IF(AND('Mapa final'!$L$10="Muy Baja",'Mapa final'!$AI$10="Mayor"),CONCATENATE("R",'Mapa final'!$B$10),"")</f>
        <v/>
      </c>
      <c r="AC38" s="231"/>
      <c r="AD38" s="236" t="str">
        <f ca="1">IF(AND('Mapa final'!$L$12="Muy Baja",'Mapa final'!$AI$12="Mayor"),CONCATENATE("R",'Mapa final'!$B$12),"")</f>
        <v/>
      </c>
      <c r="AE38" s="231"/>
      <c r="AF38" s="236" t="str">
        <f ca="1">IF(AND('Mapa final'!$L$14="Muy Baja",'Mapa final'!$AI$14="Mayor"),CONCATENATE("R",'Mapa final'!$B$14),"")</f>
        <v/>
      </c>
      <c r="AG38" s="233"/>
      <c r="AH38" s="253" t="str">
        <f ca="1">IF(AND('Mapa final'!$L$10="Muy Baja",'Mapa final'!$AI$10="Catastrófico"),CONCATENATE("R",'Mapa final'!$B$10),"")</f>
        <v/>
      </c>
      <c r="AI38" s="231"/>
      <c r="AJ38" s="237" t="str">
        <f ca="1">IF(AND('Mapa final'!$L$12="Muy Baja",'Mapa final'!$AI$12="Catastrófico"),CONCATENATE("R",'Mapa final'!$B$12),"")</f>
        <v/>
      </c>
      <c r="AK38" s="231"/>
      <c r="AL38" s="237" t="str">
        <f ca="1">IF(AND('Mapa final'!$L$14="Muy Baja",'Mapa final'!$AI$14="Catastrófico"),CONCATENATE("R",'Mapa final'!$B$14),"")</f>
        <v/>
      </c>
      <c r="AM38" s="233"/>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5">
      <c r="A39" s="1"/>
      <c r="B39" s="258"/>
      <c r="C39" s="170"/>
      <c r="D39" s="171"/>
      <c r="E39" s="182"/>
      <c r="F39" s="170"/>
      <c r="G39" s="170"/>
      <c r="H39" s="170"/>
      <c r="I39" s="171"/>
      <c r="J39" s="235"/>
      <c r="K39" s="232"/>
      <c r="L39" s="228"/>
      <c r="M39" s="232"/>
      <c r="N39" s="228"/>
      <c r="O39" s="229"/>
      <c r="P39" s="235"/>
      <c r="Q39" s="232"/>
      <c r="R39" s="228"/>
      <c r="S39" s="232"/>
      <c r="T39" s="228"/>
      <c r="U39" s="229"/>
      <c r="V39" s="235"/>
      <c r="W39" s="232"/>
      <c r="X39" s="228"/>
      <c r="Y39" s="232"/>
      <c r="Z39" s="228"/>
      <c r="AA39" s="229"/>
      <c r="AB39" s="235"/>
      <c r="AC39" s="232"/>
      <c r="AD39" s="228"/>
      <c r="AE39" s="232"/>
      <c r="AF39" s="228"/>
      <c r="AG39" s="229"/>
      <c r="AH39" s="235"/>
      <c r="AI39" s="232"/>
      <c r="AJ39" s="228"/>
      <c r="AK39" s="232"/>
      <c r="AL39" s="228"/>
      <c r="AM39" s="229"/>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5">
      <c r="A40" s="1"/>
      <c r="B40" s="258"/>
      <c r="C40" s="170"/>
      <c r="D40" s="171"/>
      <c r="E40" s="182"/>
      <c r="F40" s="170"/>
      <c r="G40" s="170"/>
      <c r="H40" s="170"/>
      <c r="I40" s="171"/>
      <c r="J40" s="254" t="str">
        <f ca="1">IF(AND('Mapa final'!$L$15="Muy Baja",'Mapa final'!$AI$15="Leve"),CONCATENATE("R",'Mapa final'!$B$15),"")</f>
        <v/>
      </c>
      <c r="K40" s="239"/>
      <c r="L40" s="238" t="str">
        <f ca="1">IF(AND('Mapa final'!$L$18="Muy Baja",'Mapa final'!$AI$18="Leve"),CONCATENATE("R",'Mapa final'!$B$18),"")</f>
        <v/>
      </c>
      <c r="M40" s="239"/>
      <c r="N40" s="238" t="str">
        <f ca="1">IF(AND('Mapa final'!$L$19="Muy Baja",'Mapa final'!$AI$19="Leve"),CONCATENATE("R",'Mapa final'!$B$19),"")</f>
        <v/>
      </c>
      <c r="O40" s="227"/>
      <c r="P40" s="254" t="str">
        <f ca="1">IF(AND('Mapa final'!$L$15="Muy Baja",'Mapa final'!$AI$15="Menor"),CONCATENATE("R",'Mapa final'!$B$15),"")</f>
        <v/>
      </c>
      <c r="Q40" s="239"/>
      <c r="R40" s="238" t="str">
        <f ca="1">IF(AND('Mapa final'!$L$18="Muy Baja",'Mapa final'!$AI$18="Menor"),CONCATENATE("R",'Mapa final'!$B$18),"")</f>
        <v/>
      </c>
      <c r="S40" s="239"/>
      <c r="T40" s="238" t="str">
        <f ca="1">IF(AND('Mapa final'!$L$19="Muy Baja",'Mapa final'!$AI$19="Menor"),CONCATENATE("R",'Mapa final'!$B$19),"")</f>
        <v/>
      </c>
      <c r="U40" s="227"/>
      <c r="V40" s="240" t="str">
        <f ca="1">IF(AND('Mapa final'!$L$15="Muy Baja",'Mapa final'!$AI$15="Moderado"),CONCATENATE("R",'Mapa final'!$B$15),"")</f>
        <v/>
      </c>
      <c r="W40" s="239"/>
      <c r="X40" s="226" t="str">
        <f ca="1">IF(AND('Mapa final'!$L$18="Muy Baja",'Mapa final'!$AI$18="Moderado"),CONCATENATE("R",'Mapa final'!$B$18),"")</f>
        <v/>
      </c>
      <c r="Y40" s="239"/>
      <c r="Z40" s="226" t="str">
        <f ca="1">IF(AND('Mapa final'!$L$19="Muy Baja",'Mapa final'!$AI$19="Moderado"),CONCATENATE("R",'Mapa final'!$B$19),"")</f>
        <v/>
      </c>
      <c r="AA40" s="227"/>
      <c r="AB40" s="241" t="str">
        <f ca="1">IF(AND('Mapa final'!$L$15="Muy Baja",'Mapa final'!$AI$15="Mayor"),CONCATENATE("R",'Mapa final'!$B$15),"")</f>
        <v/>
      </c>
      <c r="AC40" s="239"/>
      <c r="AD40" s="242" t="str">
        <f ca="1">IF(AND('Mapa final'!$L$18="Muy Baja",'Mapa final'!$AI$18="Mayor"),CONCATENATE("R",'Mapa final'!$B$18),"")</f>
        <v/>
      </c>
      <c r="AE40" s="239"/>
      <c r="AF40" s="242" t="str">
        <f ca="1">IF(AND('Mapa final'!$L$19="Muy Baja",'Mapa final'!$AI$19="Mayor"),CONCATENATE("R",'Mapa final'!$B$19),"")</f>
        <v/>
      </c>
      <c r="AG40" s="227"/>
      <c r="AH40" s="243" t="str">
        <f ca="1">IF(AND('Mapa final'!$L$15="Muy Baja",'Mapa final'!$AI$15="Catastrófico"),CONCATENATE("R",'Mapa final'!$B$15),"")</f>
        <v/>
      </c>
      <c r="AI40" s="239"/>
      <c r="AJ40" s="244" t="str">
        <f ca="1">IF(AND('Mapa final'!$L$18="Muy Baja",'Mapa final'!$AI$18="Catastrófico"),CONCATENATE("R",'Mapa final'!$B$18),"")</f>
        <v/>
      </c>
      <c r="AK40" s="239"/>
      <c r="AL40" s="244" t="str">
        <f ca="1">IF(AND('Mapa final'!$L$19="Muy Baja",'Mapa final'!$AI$19="Catastrófico"),CONCATENATE("R",'Mapa final'!$B$19),"")</f>
        <v/>
      </c>
      <c r="AM40" s="227"/>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5">
      <c r="A41" s="1"/>
      <c r="B41" s="258"/>
      <c r="C41" s="170"/>
      <c r="D41" s="171"/>
      <c r="E41" s="182"/>
      <c r="F41" s="170"/>
      <c r="G41" s="170"/>
      <c r="H41" s="170"/>
      <c r="I41" s="171"/>
      <c r="J41" s="235"/>
      <c r="K41" s="232"/>
      <c r="L41" s="228"/>
      <c r="M41" s="232"/>
      <c r="N41" s="228"/>
      <c r="O41" s="229"/>
      <c r="P41" s="235"/>
      <c r="Q41" s="232"/>
      <c r="R41" s="228"/>
      <c r="S41" s="232"/>
      <c r="T41" s="228"/>
      <c r="U41" s="229"/>
      <c r="V41" s="235"/>
      <c r="W41" s="232"/>
      <c r="X41" s="228"/>
      <c r="Y41" s="232"/>
      <c r="Z41" s="228"/>
      <c r="AA41" s="229"/>
      <c r="AB41" s="235"/>
      <c r="AC41" s="232"/>
      <c r="AD41" s="228"/>
      <c r="AE41" s="232"/>
      <c r="AF41" s="228"/>
      <c r="AG41" s="229"/>
      <c r="AH41" s="235"/>
      <c r="AI41" s="232"/>
      <c r="AJ41" s="228"/>
      <c r="AK41" s="232"/>
      <c r="AL41" s="228"/>
      <c r="AM41" s="229"/>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5">
      <c r="A42" s="1"/>
      <c r="B42" s="258"/>
      <c r="C42" s="170"/>
      <c r="D42" s="171"/>
      <c r="E42" s="182"/>
      <c r="F42" s="170"/>
      <c r="G42" s="170"/>
      <c r="H42" s="170"/>
      <c r="I42" s="171"/>
      <c r="J42" s="254" t="str">
        <f ca="1">IF(AND('Mapa final'!$L$21="Muy Baja",'Mapa final'!$AI$21="Leve"),CONCATENATE("R",'Mapa final'!$B$21),"")</f>
        <v/>
      </c>
      <c r="K42" s="239"/>
      <c r="L42" s="238" t="str">
        <f ca="1">IF(AND('Mapa final'!$L$23="Muy Baja",'Mapa final'!$AI$23="Leve"),CONCATENATE("R",'Mapa final'!$B$23),"")</f>
        <v/>
      </c>
      <c r="M42" s="239"/>
      <c r="N42" s="238" t="str">
        <f ca="1">IF(AND('Mapa final'!$L$24="Muy Baja",'Mapa final'!$AI$24="Leve"),CONCATENATE("R",'Mapa final'!$B$24),"")</f>
        <v/>
      </c>
      <c r="O42" s="227"/>
      <c r="P42" s="254" t="str">
        <f ca="1">IF(AND('Mapa final'!$L$21="Muy Baja",'Mapa final'!$AI$21="Menor"),CONCATENATE("R",'Mapa final'!$B$21),"")</f>
        <v/>
      </c>
      <c r="Q42" s="239"/>
      <c r="R42" s="238" t="str">
        <f ca="1">IF(AND('Mapa final'!$L$23="Muy Baja",'Mapa final'!$AI$23="Menor"),CONCATENATE("R",'Mapa final'!$B$23),"")</f>
        <v/>
      </c>
      <c r="S42" s="239"/>
      <c r="T42" s="238" t="str">
        <f ca="1">IF(AND('Mapa final'!$L$24="Muy Baja",'Mapa final'!$AI$24="Menor"),CONCATENATE("R",'Mapa final'!$B$24),"")</f>
        <v/>
      </c>
      <c r="U42" s="227"/>
      <c r="V42" s="240" t="str">
        <f ca="1">IF(AND('Mapa final'!$L$21="Muy Baja",'Mapa final'!$AI$21="Moderado"),CONCATENATE("R",'Mapa final'!$B$21),"")</f>
        <v/>
      </c>
      <c r="W42" s="239"/>
      <c r="X42" s="226" t="str">
        <f ca="1">IF(AND('Mapa final'!$L$23="Muy Baja",'Mapa final'!$AI$23="Moderado"),CONCATENATE("R",'Mapa final'!$B$23),"")</f>
        <v/>
      </c>
      <c r="Y42" s="239"/>
      <c r="Z42" s="226" t="str">
        <f ca="1">IF(AND('Mapa final'!$L$24="Muy Baja",'Mapa final'!$AI$24="Moderado"),CONCATENATE("R",'Mapa final'!$B$24),"")</f>
        <v/>
      </c>
      <c r="AA42" s="227"/>
      <c r="AB42" s="241" t="str">
        <f ca="1">IF(AND('Mapa final'!$L$21="Muy Baja",'Mapa final'!$AI$21="Mayor"),CONCATENATE("R",'Mapa final'!$B$21),"")</f>
        <v/>
      </c>
      <c r="AC42" s="239"/>
      <c r="AD42" s="242" t="str">
        <f ca="1">IF(AND('Mapa final'!$L$23="Muy Baja",'Mapa final'!$AI$23="Mayor"),CONCATENATE("R",'Mapa final'!$B$23),"")</f>
        <v/>
      </c>
      <c r="AE42" s="239"/>
      <c r="AF42" s="242" t="str">
        <f ca="1">IF(AND('Mapa final'!$L$24="Muy Baja",'Mapa final'!$AI$24="Mayor"),CONCATENATE("R",'Mapa final'!$B$24),"")</f>
        <v/>
      </c>
      <c r="AG42" s="227"/>
      <c r="AH42" s="243" t="str">
        <f ca="1">IF(AND('Mapa final'!$L$21="Muy Baja",'Mapa final'!$AI$21="Catastrófico"),CONCATENATE("R",'Mapa final'!$B$21),"")</f>
        <v/>
      </c>
      <c r="AI42" s="239"/>
      <c r="AJ42" s="244" t="str">
        <f ca="1">IF(AND('Mapa final'!$L$23="Muy Baja",'Mapa final'!$AI$23="Catastrófico"),CONCATENATE("R",'Mapa final'!$B$23),"")</f>
        <v/>
      </c>
      <c r="AK42" s="239"/>
      <c r="AL42" s="244" t="str">
        <f ca="1">IF(AND('Mapa final'!$L$24="Muy Baja",'Mapa final'!$AI$24="Catastrófico"),CONCATENATE("R",'Mapa final'!$B$24),"")</f>
        <v/>
      </c>
      <c r="AM42" s="227"/>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5">
      <c r="A43" s="1"/>
      <c r="B43" s="258"/>
      <c r="C43" s="170"/>
      <c r="D43" s="171"/>
      <c r="E43" s="182"/>
      <c r="F43" s="170"/>
      <c r="G43" s="170"/>
      <c r="H43" s="170"/>
      <c r="I43" s="171"/>
      <c r="J43" s="235"/>
      <c r="K43" s="232"/>
      <c r="L43" s="228"/>
      <c r="M43" s="232"/>
      <c r="N43" s="228"/>
      <c r="O43" s="229"/>
      <c r="P43" s="235"/>
      <c r="Q43" s="232"/>
      <c r="R43" s="228"/>
      <c r="S43" s="232"/>
      <c r="T43" s="228"/>
      <c r="U43" s="229"/>
      <c r="V43" s="235"/>
      <c r="W43" s="232"/>
      <c r="X43" s="228"/>
      <c r="Y43" s="232"/>
      <c r="Z43" s="228"/>
      <c r="AA43" s="229"/>
      <c r="AB43" s="235"/>
      <c r="AC43" s="232"/>
      <c r="AD43" s="228"/>
      <c r="AE43" s="232"/>
      <c r="AF43" s="228"/>
      <c r="AG43" s="229"/>
      <c r="AH43" s="235"/>
      <c r="AI43" s="232"/>
      <c r="AJ43" s="228"/>
      <c r="AK43" s="232"/>
      <c r="AL43" s="228"/>
      <c r="AM43" s="229"/>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5">
      <c r="A44" s="1"/>
      <c r="B44" s="258"/>
      <c r="C44" s="170"/>
      <c r="D44" s="171"/>
      <c r="E44" s="182"/>
      <c r="F44" s="170"/>
      <c r="G44" s="170"/>
      <c r="H44" s="170"/>
      <c r="I44" s="171"/>
      <c r="J44" s="254" t="str">
        <f ca="1">IF(AND('Mapa final'!$L$25="Muy Baja",'Mapa final'!$AI$25="Leve"),CONCATENATE("R",'Mapa final'!$B$25),"")</f>
        <v/>
      </c>
      <c r="K44" s="239"/>
      <c r="L44" s="238" t="str">
        <f>IF(AND('Mapa final'!$L$120="Muy Baja",'Mapa final'!$AI$120="Leve"),CONCATENATE("R",'Mapa final'!$B$120),"")</f>
        <v/>
      </c>
      <c r="M44" s="239"/>
      <c r="N44" s="238" t="str">
        <f>IF(AND('Mapa final'!$L$126="Muy Baja",'Mapa final'!$AI$126="Leve"),CONCATENATE("R",'Mapa final'!$B$126),"")</f>
        <v/>
      </c>
      <c r="O44" s="227"/>
      <c r="P44" s="254" t="str">
        <f ca="1">IF(AND('Mapa final'!$L$25="Muy Baja",'Mapa final'!$AI$25="Menor"),CONCATENATE("R",'Mapa final'!$B$25),"")</f>
        <v/>
      </c>
      <c r="Q44" s="239"/>
      <c r="R44" s="238" t="str">
        <f>IF(AND('Mapa final'!$L$120="Muy Baja",'Mapa final'!$AI$120="Menor"),CONCATENATE("R",'Mapa final'!$B$120),"")</f>
        <v/>
      </c>
      <c r="S44" s="239"/>
      <c r="T44" s="238" t="str">
        <f>IF(AND('Mapa final'!$L$126="Muy Baja",'Mapa final'!$AI$126="Menor"),CONCATENATE("R",'Mapa final'!$B$126),"")</f>
        <v/>
      </c>
      <c r="U44" s="227"/>
      <c r="V44" s="240" t="str">
        <f ca="1">IF(AND('Mapa final'!$L$25="Muy Baja",'Mapa final'!$AI$25="Moderado"),CONCATENATE("R",'Mapa final'!$B$25),"")</f>
        <v/>
      </c>
      <c r="W44" s="239"/>
      <c r="X44" s="226" t="str">
        <f>IF(AND('Mapa final'!$L$120="Muy Baja",'Mapa final'!$AI$120="Moderado"),CONCATENATE("R",'Mapa final'!$B$120),"")</f>
        <v/>
      </c>
      <c r="Y44" s="239"/>
      <c r="Z44" s="226" t="str">
        <f>IF(AND('Mapa final'!$L$126="Muy Baja",'Mapa final'!$AI$126="Moderado"),CONCATENATE("R",'Mapa final'!$B$126),"")</f>
        <v/>
      </c>
      <c r="AA44" s="227"/>
      <c r="AB44" s="241" t="str">
        <f ca="1">IF(AND('Mapa final'!$L$25="Muy Baja",'Mapa final'!$AI$25="Mayor"),CONCATENATE("R",'Mapa final'!$B$25),"")</f>
        <v/>
      </c>
      <c r="AC44" s="239"/>
      <c r="AD44" s="242" t="str">
        <f>IF(AND('Mapa final'!$L$120="Muy Baja",'Mapa final'!$AI$120="Mayor"),CONCATENATE("R",'Mapa final'!$B$120),"")</f>
        <v/>
      </c>
      <c r="AE44" s="239"/>
      <c r="AF44" s="242" t="str">
        <f>IF(AND('Mapa final'!$L$126="Muy Baja",'Mapa final'!$AI$126="Mayor"),CONCATENATE("R",'Mapa final'!$B$126),"")</f>
        <v/>
      </c>
      <c r="AG44" s="227"/>
      <c r="AH44" s="243" t="str">
        <f ca="1">IF(AND('Mapa final'!$L$25="Muy Baja",'Mapa final'!$AI$25="Catastrófico"),CONCATENATE("R",'Mapa final'!$B$25),"")</f>
        <v/>
      </c>
      <c r="AI44" s="239"/>
      <c r="AJ44" s="244" t="str">
        <f>IF(AND('Mapa final'!$L$120="Muy Baja",'Mapa final'!$AI$120="Catastrófico"),CONCATENATE("R",'Mapa final'!$B$120),"")</f>
        <v/>
      </c>
      <c r="AK44" s="239"/>
      <c r="AL44" s="244" t="str">
        <f>IF(AND('Mapa final'!$L$126="Muy Baja",'Mapa final'!$AI$126="Catastrófico"),CONCATENATE("R",'Mapa final'!$B$126),"")</f>
        <v/>
      </c>
      <c r="AM44" s="227"/>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228"/>
      <c r="C45" s="260"/>
      <c r="D45" s="229"/>
      <c r="E45" s="248"/>
      <c r="F45" s="249"/>
      <c r="G45" s="249"/>
      <c r="H45" s="249"/>
      <c r="I45" s="252"/>
      <c r="J45" s="248"/>
      <c r="K45" s="250"/>
      <c r="L45" s="251"/>
      <c r="M45" s="250"/>
      <c r="N45" s="251"/>
      <c r="O45" s="252"/>
      <c r="P45" s="248"/>
      <c r="Q45" s="250"/>
      <c r="R45" s="251"/>
      <c r="S45" s="250"/>
      <c r="T45" s="251"/>
      <c r="U45" s="252"/>
      <c r="V45" s="248"/>
      <c r="W45" s="250"/>
      <c r="X45" s="251"/>
      <c r="Y45" s="250"/>
      <c r="Z45" s="251"/>
      <c r="AA45" s="252"/>
      <c r="AB45" s="248"/>
      <c r="AC45" s="250"/>
      <c r="AD45" s="251"/>
      <c r="AE45" s="250"/>
      <c r="AF45" s="251"/>
      <c r="AG45" s="252"/>
      <c r="AH45" s="248"/>
      <c r="AI45" s="250"/>
      <c r="AJ45" s="251"/>
      <c r="AK45" s="250"/>
      <c r="AL45" s="251"/>
      <c r="AM45" s="252"/>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246" t="s">
        <v>102</v>
      </c>
      <c r="K46" s="247"/>
      <c r="L46" s="247"/>
      <c r="M46" s="247"/>
      <c r="N46" s="247"/>
      <c r="O46" s="233"/>
      <c r="P46" s="246" t="s">
        <v>103</v>
      </c>
      <c r="Q46" s="247"/>
      <c r="R46" s="247"/>
      <c r="S46" s="247"/>
      <c r="T46" s="247"/>
      <c r="U46" s="233"/>
      <c r="V46" s="246" t="s">
        <v>104</v>
      </c>
      <c r="W46" s="247"/>
      <c r="X46" s="247"/>
      <c r="Y46" s="247"/>
      <c r="Z46" s="247"/>
      <c r="AA46" s="233"/>
      <c r="AB46" s="246" t="s">
        <v>105</v>
      </c>
      <c r="AC46" s="247"/>
      <c r="AD46" s="247"/>
      <c r="AE46" s="247"/>
      <c r="AF46" s="247"/>
      <c r="AG46" s="233"/>
      <c r="AH46" s="246" t="s">
        <v>106</v>
      </c>
      <c r="AI46" s="247"/>
      <c r="AJ46" s="247"/>
      <c r="AK46" s="247"/>
      <c r="AL46" s="247"/>
      <c r="AM46" s="233"/>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182"/>
      <c r="K47" s="170"/>
      <c r="L47" s="170"/>
      <c r="M47" s="170"/>
      <c r="N47" s="170"/>
      <c r="O47" s="171"/>
      <c r="P47" s="182"/>
      <c r="Q47" s="170"/>
      <c r="R47" s="170"/>
      <c r="S47" s="170"/>
      <c r="T47" s="170"/>
      <c r="U47" s="171"/>
      <c r="V47" s="182"/>
      <c r="W47" s="170"/>
      <c r="X47" s="170"/>
      <c r="Y47" s="170"/>
      <c r="Z47" s="170"/>
      <c r="AA47" s="171"/>
      <c r="AB47" s="182"/>
      <c r="AC47" s="170"/>
      <c r="AD47" s="170"/>
      <c r="AE47" s="170"/>
      <c r="AF47" s="170"/>
      <c r="AG47" s="171"/>
      <c r="AH47" s="182"/>
      <c r="AI47" s="170"/>
      <c r="AJ47" s="170"/>
      <c r="AK47" s="170"/>
      <c r="AL47" s="170"/>
      <c r="AM47" s="171"/>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182"/>
      <c r="K48" s="170"/>
      <c r="L48" s="170"/>
      <c r="M48" s="170"/>
      <c r="N48" s="170"/>
      <c r="O48" s="171"/>
      <c r="P48" s="182"/>
      <c r="Q48" s="170"/>
      <c r="R48" s="170"/>
      <c r="S48" s="170"/>
      <c r="T48" s="170"/>
      <c r="U48" s="171"/>
      <c r="V48" s="182"/>
      <c r="W48" s="170"/>
      <c r="X48" s="170"/>
      <c r="Y48" s="170"/>
      <c r="Z48" s="170"/>
      <c r="AA48" s="171"/>
      <c r="AB48" s="182"/>
      <c r="AC48" s="170"/>
      <c r="AD48" s="170"/>
      <c r="AE48" s="170"/>
      <c r="AF48" s="170"/>
      <c r="AG48" s="171"/>
      <c r="AH48" s="182"/>
      <c r="AI48" s="170"/>
      <c r="AJ48" s="170"/>
      <c r="AK48" s="170"/>
      <c r="AL48" s="170"/>
      <c r="AM48" s="171"/>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182"/>
      <c r="K49" s="170"/>
      <c r="L49" s="170"/>
      <c r="M49" s="170"/>
      <c r="N49" s="170"/>
      <c r="O49" s="171"/>
      <c r="P49" s="182"/>
      <c r="Q49" s="170"/>
      <c r="R49" s="170"/>
      <c r="S49" s="170"/>
      <c r="T49" s="170"/>
      <c r="U49" s="171"/>
      <c r="V49" s="182"/>
      <c r="W49" s="170"/>
      <c r="X49" s="170"/>
      <c r="Y49" s="170"/>
      <c r="Z49" s="170"/>
      <c r="AA49" s="171"/>
      <c r="AB49" s="182"/>
      <c r="AC49" s="170"/>
      <c r="AD49" s="170"/>
      <c r="AE49" s="170"/>
      <c r="AF49" s="170"/>
      <c r="AG49" s="171"/>
      <c r="AH49" s="182"/>
      <c r="AI49" s="170"/>
      <c r="AJ49" s="170"/>
      <c r="AK49" s="170"/>
      <c r="AL49" s="170"/>
      <c r="AM49" s="171"/>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182"/>
      <c r="K50" s="170"/>
      <c r="L50" s="170"/>
      <c r="M50" s="170"/>
      <c r="N50" s="170"/>
      <c r="O50" s="171"/>
      <c r="P50" s="182"/>
      <c r="Q50" s="170"/>
      <c r="R50" s="170"/>
      <c r="S50" s="170"/>
      <c r="T50" s="170"/>
      <c r="U50" s="171"/>
      <c r="V50" s="182"/>
      <c r="W50" s="170"/>
      <c r="X50" s="170"/>
      <c r="Y50" s="170"/>
      <c r="Z50" s="170"/>
      <c r="AA50" s="171"/>
      <c r="AB50" s="182"/>
      <c r="AC50" s="170"/>
      <c r="AD50" s="170"/>
      <c r="AE50" s="170"/>
      <c r="AF50" s="170"/>
      <c r="AG50" s="171"/>
      <c r="AH50" s="182"/>
      <c r="AI50" s="170"/>
      <c r="AJ50" s="170"/>
      <c r="AK50" s="170"/>
      <c r="AL50" s="170"/>
      <c r="AM50" s="171"/>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248"/>
      <c r="K51" s="249"/>
      <c r="L51" s="249"/>
      <c r="M51" s="249"/>
      <c r="N51" s="249"/>
      <c r="O51" s="252"/>
      <c r="P51" s="248"/>
      <c r="Q51" s="249"/>
      <c r="R51" s="249"/>
      <c r="S51" s="249"/>
      <c r="T51" s="249"/>
      <c r="U51" s="252"/>
      <c r="V51" s="248"/>
      <c r="W51" s="249"/>
      <c r="X51" s="249"/>
      <c r="Y51" s="249"/>
      <c r="Z51" s="249"/>
      <c r="AA51" s="252"/>
      <c r="AB51" s="248"/>
      <c r="AC51" s="249"/>
      <c r="AD51" s="249"/>
      <c r="AE51" s="249"/>
      <c r="AF51" s="249"/>
      <c r="AG51" s="252"/>
      <c r="AH51" s="248"/>
      <c r="AI51" s="249"/>
      <c r="AJ51" s="249"/>
      <c r="AK51" s="249"/>
      <c r="AL51" s="249"/>
      <c r="AM51" s="252"/>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1"/>
      <c r="AV53" s="1"/>
      <c r="AW53" s="1"/>
      <c r="AX53" s="1"/>
      <c r="AY53" s="1"/>
      <c r="AZ53" s="1"/>
      <c r="BA53" s="1"/>
      <c r="BB53" s="1"/>
      <c r="BC53" s="1"/>
      <c r="BD53" s="1"/>
      <c r="BE53" s="1"/>
      <c r="BF53" s="1"/>
      <c r="BG53" s="1"/>
      <c r="BH53" s="1"/>
      <c r="BI53" s="1"/>
    </row>
    <row r="54" spans="1:61" ht="15" customHeight="1" x14ac:dyDescent="0.25">
      <c r="A54" s="1"/>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
    <row r="142" spans="2:61" ht="15.75" customHeight="1" x14ac:dyDescent="0.2"/>
    <row r="143" spans="2:61" ht="15.75" customHeight="1" x14ac:dyDescent="0.2"/>
    <row r="144" spans="2:61"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7">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 ref="J8:K9"/>
    <mergeCell ref="L8:M9"/>
    <mergeCell ref="J12:K13"/>
    <mergeCell ref="L12:M13"/>
    <mergeCell ref="N12:O13"/>
    <mergeCell ref="P12:Q13"/>
    <mergeCell ref="R12:S13"/>
    <mergeCell ref="J6:K7"/>
    <mergeCell ref="J10:K11"/>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J40:AK41"/>
    <mergeCell ref="AL40:AM41"/>
    <mergeCell ref="T38:U39"/>
    <mergeCell ref="V38:W39"/>
    <mergeCell ref="X38:Y39"/>
    <mergeCell ref="Z38:AA39"/>
    <mergeCell ref="AB38:AC39"/>
    <mergeCell ref="AD38:AE39"/>
    <mergeCell ref="AF38:AG39"/>
    <mergeCell ref="AH38:AI39"/>
    <mergeCell ref="AJ38:AK39"/>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J46:O51"/>
    <mergeCell ref="P44:Q45"/>
    <mergeCell ref="R44:S45"/>
    <mergeCell ref="P46:U51"/>
    <mergeCell ref="T44:U45"/>
    <mergeCell ref="V44:W45"/>
    <mergeCell ref="X44:Y45"/>
    <mergeCell ref="Z44:AA45"/>
    <mergeCell ref="V46:AA51"/>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zoomScale="52" workbookViewId="0">
      <selection activeCell="V26" sqref="V26"/>
    </sheetView>
  </sheetViews>
  <sheetFormatPr baseColWidth="10" defaultColWidth="12.625" defaultRowHeight="15" customHeight="1" x14ac:dyDescent="0.2"/>
  <cols>
    <col min="1" max="1" width="9.375" customWidth="1"/>
    <col min="2" max="18" width="5" customWidth="1"/>
    <col min="19" max="19" width="7.375" customWidth="1"/>
    <col min="20" max="21" width="5" customWidth="1"/>
    <col min="22" max="22" width="8.125" customWidth="1"/>
    <col min="23" max="23" width="5" customWidth="1"/>
    <col min="24" max="24" width="7.5" customWidth="1"/>
    <col min="25" max="26" width="5" customWidth="1"/>
    <col min="27" max="27" width="9.375" customWidth="1"/>
    <col min="28" max="28" width="5" customWidth="1"/>
    <col min="29" max="29" width="6.5" customWidth="1"/>
    <col min="30" max="33" width="5" customWidth="1"/>
    <col min="34" max="34" width="7.5" customWidth="1"/>
    <col min="35" max="39" width="5" customWidth="1"/>
    <col min="40" max="40" width="9.375" customWidth="1"/>
    <col min="41" max="46" width="5" customWidth="1"/>
    <col min="47" max="61" width="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75" t="s">
        <v>107</v>
      </c>
      <c r="C2" s="170"/>
      <c r="D2" s="170"/>
      <c r="E2" s="170"/>
      <c r="F2" s="170"/>
      <c r="G2" s="170"/>
      <c r="H2" s="170"/>
      <c r="I2" s="170"/>
      <c r="J2" s="256" t="s">
        <v>15</v>
      </c>
      <c r="K2" s="257"/>
      <c r="L2" s="257"/>
      <c r="M2" s="257"/>
      <c r="N2" s="257"/>
      <c r="O2" s="257"/>
      <c r="P2" s="257"/>
      <c r="Q2" s="257"/>
      <c r="R2" s="257"/>
      <c r="S2" s="257"/>
      <c r="T2" s="257"/>
      <c r="U2" s="257"/>
      <c r="V2" s="257"/>
      <c r="W2" s="257"/>
      <c r="X2" s="257"/>
      <c r="Y2" s="257"/>
      <c r="Z2" s="257"/>
      <c r="AA2" s="257"/>
      <c r="AB2" s="257"/>
      <c r="AC2" s="257"/>
      <c r="AD2" s="257"/>
      <c r="AE2" s="257"/>
      <c r="AF2" s="257"/>
      <c r="AG2" s="257"/>
      <c r="AH2" s="257"/>
      <c r="AI2" s="257"/>
      <c r="AJ2" s="257"/>
      <c r="AK2" s="257"/>
      <c r="AL2" s="257"/>
      <c r="AM2" s="239"/>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58"/>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59"/>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28"/>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c r="AL4" s="260"/>
      <c r="AM4" s="232"/>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61" t="s">
        <v>92</v>
      </c>
      <c r="C6" s="257"/>
      <c r="D6" s="227"/>
      <c r="E6" s="276" t="s">
        <v>93</v>
      </c>
      <c r="F6" s="247"/>
      <c r="G6" s="247"/>
      <c r="H6" s="247"/>
      <c r="I6" s="233"/>
      <c r="J6" s="30" t="str">
        <f ca="1">IF(AND('Mapa final'!$AY$10="Muy Alta",'Mapa final'!$BA$10="Leve"),CONCATENATE("R1C",'Mapa final'!$AL$10),"")</f>
        <v/>
      </c>
      <c r="K6" s="31" t="str">
        <f ca="1">IF(AND('Mapa final'!$AY$11="Muy Alta",'Mapa final'!$BA$11="Leve"),CONCATENATE("R1C",'Mapa final'!$AL$11),"")</f>
        <v/>
      </c>
      <c r="L6" s="31" t="e">
        <f>IF(AND('Mapa final'!#REF!="Muy Alta",'Mapa final'!#REF!="Leve"),CONCATENATE("R1C",'Mapa final'!#REF!),"")</f>
        <v>#REF!</v>
      </c>
      <c r="M6" s="31" t="e">
        <f>IF(AND('Mapa final'!#REF!="Muy Alta",'Mapa final'!#REF!="Leve"),CONCATENATE("R1C",'Mapa final'!#REF!),"")</f>
        <v>#REF!</v>
      </c>
      <c r="N6" s="31" t="e">
        <f>IF(AND('Mapa final'!#REF!="Muy Alta",'Mapa final'!#REF!="Leve"),CONCATENATE("R1C",'Mapa final'!#REF!),"")</f>
        <v>#REF!</v>
      </c>
      <c r="O6" s="32" t="e">
        <f>IF(AND('Mapa final'!#REF!="Muy Alta",'Mapa final'!#REF!="Leve"),CONCATENATE("R1C",'Mapa final'!#REF!),"")</f>
        <v>#REF!</v>
      </c>
      <c r="P6" s="30" t="str">
        <f ca="1">IF(AND('Mapa final'!$AY$10="Muy Alta",'Mapa final'!$BA$10="Menor"),CONCATENATE("R1C",'Mapa final'!$AL$10),"")</f>
        <v/>
      </c>
      <c r="Q6" s="31" t="str">
        <f ca="1">IF(AND('Mapa final'!$AY$11="Muy Alta",'Mapa final'!$BA$11="Menor"),CONCATENATE("R1C",'Mapa final'!$AL$11),"")</f>
        <v/>
      </c>
      <c r="R6" s="31" t="e">
        <f>IF(AND('Mapa final'!#REF!="Muy Alta",'Mapa final'!#REF!="Menor"),CONCATENATE("R1C",'Mapa final'!#REF!),"")</f>
        <v>#REF!</v>
      </c>
      <c r="S6" s="31" t="e">
        <f>IF(AND('Mapa final'!#REF!="Muy Alta",'Mapa final'!#REF!="Menor"),CONCATENATE("R1C",'Mapa final'!#REF!),"")</f>
        <v>#REF!</v>
      </c>
      <c r="T6" s="31" t="e">
        <f>IF(AND('Mapa final'!#REF!="Muy Alta",'Mapa final'!#REF!="Menor"),CONCATENATE("R1C",'Mapa final'!#REF!),"")</f>
        <v>#REF!</v>
      </c>
      <c r="U6" s="32" t="e">
        <f>IF(AND('Mapa final'!#REF!="Muy Alta",'Mapa final'!#REF!="Menor"),CONCATENATE("R1C",'Mapa final'!#REF!),"")</f>
        <v>#REF!</v>
      </c>
      <c r="V6" s="30" t="str">
        <f ca="1">IF(AND('Mapa final'!$AY$10="Muy Alta",'Mapa final'!$BA$10="Moderado"),CONCATENATE("R1C",'Mapa final'!$AL$10),"")</f>
        <v/>
      </c>
      <c r="W6" s="31" t="str">
        <f ca="1">IF(AND('Mapa final'!$AY$11="Muy Alta",'Mapa final'!$BA$11="Moderado"),CONCATENATE("R1C",'Mapa final'!$AL$11),"")</f>
        <v/>
      </c>
      <c r="X6" s="31" t="e">
        <f>IF(AND('Mapa final'!#REF!="Muy Alta",'Mapa final'!#REF!="Moderado"),CONCATENATE("R1C",'Mapa final'!#REF!),"")</f>
        <v>#REF!</v>
      </c>
      <c r="Y6" s="31" t="e">
        <f>IF(AND('Mapa final'!#REF!="Muy Alta",'Mapa final'!#REF!="Moderado"),CONCATENATE("R1C",'Mapa final'!#REF!),"")</f>
        <v>#REF!</v>
      </c>
      <c r="Z6" s="31" t="e">
        <f>IF(AND('Mapa final'!#REF!="Muy Alta",'Mapa final'!#REF!="Moderado"),CONCATENATE("R1C",'Mapa final'!#REF!),"")</f>
        <v>#REF!</v>
      </c>
      <c r="AA6" s="32" t="e">
        <f>IF(AND('Mapa final'!#REF!="Muy Alta",'Mapa final'!#REF!="Moderado"),CONCATENATE("R1C",'Mapa final'!#REF!),"")</f>
        <v>#REF!</v>
      </c>
      <c r="AB6" s="30" t="str">
        <f ca="1">IF(AND('Mapa final'!$AY$10="Muy Alta",'Mapa final'!$BA$10="Mayor"),CONCATENATE("R1C",'Mapa final'!$AL$10),"")</f>
        <v/>
      </c>
      <c r="AC6" s="31" t="str">
        <f ca="1">IF(AND('Mapa final'!$AY$11="Muy Alta",'Mapa final'!$BA$11="Mayor"),CONCATENATE("R1C",'Mapa final'!$AL$11),"")</f>
        <v/>
      </c>
      <c r="AD6" s="31" t="e">
        <f>IF(AND('Mapa final'!#REF!="Muy Alta",'Mapa final'!#REF!="Mayor"),CONCATENATE("R1C",'Mapa final'!#REF!),"")</f>
        <v>#REF!</v>
      </c>
      <c r="AE6" s="31" t="e">
        <f>IF(AND('Mapa final'!#REF!="Muy Alta",'Mapa final'!#REF!="Mayor"),CONCATENATE("R1C",'Mapa final'!#REF!),"")</f>
        <v>#REF!</v>
      </c>
      <c r="AF6" s="31" t="e">
        <f>IF(AND('Mapa final'!#REF!="Muy Alta",'Mapa final'!#REF!="Mayor"),CONCATENATE("R1C",'Mapa final'!#REF!),"")</f>
        <v>#REF!</v>
      </c>
      <c r="AG6" s="32" t="e">
        <f>IF(AND('Mapa final'!#REF!="Muy Alta",'Mapa final'!#REF!="Mayor"),CONCATENATE("R1C",'Mapa final'!#REF!),"")</f>
        <v>#REF!</v>
      </c>
      <c r="AH6" s="33" t="str">
        <f ca="1">IF(AND('Mapa final'!$AY$10="Muy Alta",'Mapa final'!$BA$10="Catastrófico"),CONCATENATE("R1C",'Mapa final'!$AL$10),"")</f>
        <v/>
      </c>
      <c r="AI6" s="34" t="str">
        <f ca="1">IF(AND('Mapa final'!$AY$11="Muy Alta",'Mapa final'!$BA$11="Catastrófico"),CONCATENATE("R1C",'Mapa final'!$AL$11),"")</f>
        <v/>
      </c>
      <c r="AJ6" s="34" t="e">
        <f>IF(AND('Mapa final'!#REF!="Muy Alta",'Mapa final'!#REF!="Catastrófico"),CONCATENATE("R1C",'Mapa final'!#REF!),"")</f>
        <v>#REF!</v>
      </c>
      <c r="AK6" s="34" t="e">
        <f>IF(AND('Mapa final'!#REF!="Muy Alta",'Mapa final'!#REF!="Catastrófico"),CONCATENATE("R1C",'Mapa final'!#REF!),"")</f>
        <v>#REF!</v>
      </c>
      <c r="AL6" s="34" t="e">
        <f>IF(AND('Mapa final'!#REF!="Muy Alta",'Mapa final'!#REF!="Catastrófico"),CONCATENATE("R1C",'Mapa final'!#REF!),"")</f>
        <v>#REF!</v>
      </c>
      <c r="AM6" s="35" t="e">
        <f>IF(AND('Mapa final'!#REF!="Muy Alta",'Mapa final'!#REF!="Catastrófico"),CONCATENATE("R1C",'Mapa final'!#REF!),"")</f>
        <v>#REF!</v>
      </c>
      <c r="AN6" s="1"/>
      <c r="AO6" s="279" t="s">
        <v>94</v>
      </c>
      <c r="AP6" s="265"/>
      <c r="AQ6" s="265"/>
      <c r="AR6" s="265"/>
      <c r="AS6" s="265"/>
      <c r="AT6" s="266"/>
      <c r="AU6" s="1"/>
      <c r="AV6" s="1"/>
      <c r="AW6" s="1"/>
      <c r="AX6" s="1"/>
      <c r="AY6" s="1"/>
      <c r="AZ6" s="1"/>
      <c r="BA6" s="1"/>
      <c r="BB6" s="1"/>
      <c r="BC6" s="1"/>
      <c r="BD6" s="1"/>
      <c r="BE6" s="1"/>
      <c r="BF6" s="1"/>
      <c r="BG6" s="1"/>
      <c r="BH6" s="1"/>
      <c r="BI6" s="1"/>
    </row>
    <row r="7" spans="1:61" ht="15" customHeight="1" x14ac:dyDescent="0.25">
      <c r="A7" s="1"/>
      <c r="B7" s="258"/>
      <c r="C7" s="170"/>
      <c r="D7" s="171"/>
      <c r="E7" s="182"/>
      <c r="F7" s="170"/>
      <c r="G7" s="170"/>
      <c r="H7" s="170"/>
      <c r="I7" s="171"/>
      <c r="J7" s="36" t="str">
        <f ca="1">IF(AND('Mapa final'!$AY$12="Muy Alta",'Mapa final'!$BA$12="Leve"),CONCATENATE("R2C",'Mapa final'!$AL$12),"")</f>
        <v/>
      </c>
      <c r="K7" s="37" t="str">
        <f ca="1">IF(AND('Mapa final'!$AY$13="Muy Alta",'Mapa final'!$BA$13="Leve"),CONCATENATE("R2C",'Mapa final'!$AL$13),"")</f>
        <v/>
      </c>
      <c r="L7" s="37" t="e">
        <f>IF(AND('Mapa final'!#REF!="Muy Alta",'Mapa final'!#REF!="Leve"),CONCATENATE("R2C",'Mapa final'!#REF!),"")</f>
        <v>#REF!</v>
      </c>
      <c r="M7" s="37" t="e">
        <f>IF(AND('Mapa final'!#REF!="Muy Alta",'Mapa final'!#REF!="Leve"),CONCATENATE("R2C",'Mapa final'!#REF!),"")</f>
        <v>#REF!</v>
      </c>
      <c r="N7" s="37" t="e">
        <f>IF(AND('Mapa final'!#REF!="Muy Alta",'Mapa final'!#REF!="Leve"),CONCATENATE("R2C",'Mapa final'!#REF!),"")</f>
        <v>#REF!</v>
      </c>
      <c r="O7" s="38" t="e">
        <f>IF(AND('Mapa final'!#REF!="Muy Alta",'Mapa final'!#REF!="Leve"),CONCATENATE("R2C",'Mapa final'!#REF!),"")</f>
        <v>#REF!</v>
      </c>
      <c r="P7" s="36" t="str">
        <f ca="1">IF(AND('Mapa final'!$AY$12="Muy Alta",'Mapa final'!$BA$12="Menor"),CONCATENATE("R2C",'Mapa final'!$AL$12),"")</f>
        <v/>
      </c>
      <c r="Q7" s="37" t="str">
        <f ca="1">IF(AND('Mapa final'!$AY$13="Muy Alta",'Mapa final'!$BA$13="Menor"),CONCATENATE("R2C",'Mapa final'!$AL$13),"")</f>
        <v/>
      </c>
      <c r="R7" s="37" t="e">
        <f>IF(AND('Mapa final'!#REF!="Muy Alta",'Mapa final'!#REF!="Menor"),CONCATENATE("R2C",'Mapa final'!#REF!),"")</f>
        <v>#REF!</v>
      </c>
      <c r="S7" s="37" t="e">
        <f>IF(AND('Mapa final'!#REF!="Muy Alta",'Mapa final'!#REF!="Menor"),CONCATENATE("R2C",'Mapa final'!#REF!),"")</f>
        <v>#REF!</v>
      </c>
      <c r="T7" s="37" t="e">
        <f>IF(AND('Mapa final'!#REF!="Muy Alta",'Mapa final'!#REF!="Menor"),CONCATENATE("R2C",'Mapa final'!#REF!),"")</f>
        <v>#REF!</v>
      </c>
      <c r="U7" s="38" t="e">
        <f>IF(AND('Mapa final'!#REF!="Muy Alta",'Mapa final'!#REF!="Menor"),CONCATENATE("R2C",'Mapa final'!#REF!),"")</f>
        <v>#REF!</v>
      </c>
      <c r="V7" s="36" t="str">
        <f ca="1">IF(AND('Mapa final'!$AY$12="Muy Alta",'Mapa final'!$BA$12="Moderado"),CONCATENATE("R2C",'Mapa final'!$AL$12),"")</f>
        <v/>
      </c>
      <c r="W7" s="37" t="str">
        <f ca="1">IF(AND('Mapa final'!$AY$13="Muy Alta",'Mapa final'!$BA$13="Moderado"),CONCATENATE("R2C",'Mapa final'!$AL$13),"")</f>
        <v/>
      </c>
      <c r="X7" s="37" t="e">
        <f>IF(AND('Mapa final'!#REF!="Muy Alta",'Mapa final'!#REF!="Moderado"),CONCATENATE("R2C",'Mapa final'!#REF!),"")</f>
        <v>#REF!</v>
      </c>
      <c r="Y7" s="37" t="e">
        <f>IF(AND('Mapa final'!#REF!="Muy Alta",'Mapa final'!#REF!="Moderado"),CONCATENATE("R2C",'Mapa final'!#REF!),"")</f>
        <v>#REF!</v>
      </c>
      <c r="Z7" s="37" t="e">
        <f>IF(AND('Mapa final'!#REF!="Muy Alta",'Mapa final'!#REF!="Moderado"),CONCATENATE("R2C",'Mapa final'!#REF!),"")</f>
        <v>#REF!</v>
      </c>
      <c r="AA7" s="38" t="e">
        <f>IF(AND('Mapa final'!#REF!="Muy Alta",'Mapa final'!#REF!="Moderado"),CONCATENATE("R2C",'Mapa final'!#REF!),"")</f>
        <v>#REF!</v>
      </c>
      <c r="AB7" s="36" t="str">
        <f ca="1">IF(AND('Mapa final'!$AY$12="Muy Alta",'Mapa final'!$BA$12="Mayor"),CONCATENATE("R2C",'Mapa final'!$AL$12),"")</f>
        <v/>
      </c>
      <c r="AC7" s="37" t="str">
        <f ca="1">IF(AND('Mapa final'!$AY$13="Muy Alta",'Mapa final'!$BA$13="Mayor"),CONCATENATE("R2C",'Mapa final'!$AL$13),"")</f>
        <v/>
      </c>
      <c r="AD7" s="37" t="e">
        <f>IF(AND('Mapa final'!#REF!="Muy Alta",'Mapa final'!#REF!="Mayor"),CONCATENATE("R2C",'Mapa final'!#REF!),"")</f>
        <v>#REF!</v>
      </c>
      <c r="AE7" s="37" t="e">
        <f>IF(AND('Mapa final'!#REF!="Muy Alta",'Mapa final'!#REF!="Mayor"),CONCATENATE("R2C",'Mapa final'!#REF!),"")</f>
        <v>#REF!</v>
      </c>
      <c r="AF7" s="37" t="e">
        <f>IF(AND('Mapa final'!#REF!="Muy Alta",'Mapa final'!#REF!="Mayor"),CONCATENATE("R2C",'Mapa final'!#REF!),"")</f>
        <v>#REF!</v>
      </c>
      <c r="AG7" s="38" t="e">
        <f>IF(AND('Mapa final'!#REF!="Muy Alta",'Mapa final'!#REF!="Mayor"),CONCATENATE("R2C",'Mapa final'!#REF!),"")</f>
        <v>#REF!</v>
      </c>
      <c r="AH7" s="39" t="str">
        <f ca="1">IF(AND('Mapa final'!$AY$12="Muy Alta",'Mapa final'!$BA$12="Catastrófico"),CONCATENATE("R2C",'Mapa final'!$AL$12),"")</f>
        <v/>
      </c>
      <c r="AI7" s="40" t="str">
        <f ca="1">IF(AND('Mapa final'!$AY$13="Muy Alta",'Mapa final'!$BA$13="Catastrófico"),CONCATENATE("R2C",'Mapa final'!$AL$13),"")</f>
        <v/>
      </c>
      <c r="AJ7" s="40" t="e">
        <f>IF(AND('Mapa final'!#REF!="Muy Alta",'Mapa final'!#REF!="Catastrófico"),CONCATENATE("R2C",'Mapa final'!#REF!),"")</f>
        <v>#REF!</v>
      </c>
      <c r="AK7" s="40" t="e">
        <f>IF(AND('Mapa final'!#REF!="Muy Alta",'Mapa final'!#REF!="Catastrófico"),CONCATENATE("R2C",'Mapa final'!#REF!),"")</f>
        <v>#REF!</v>
      </c>
      <c r="AL7" s="40" t="e">
        <f>IF(AND('Mapa final'!#REF!="Muy Alta",'Mapa final'!#REF!="Catastrófico"),CONCATENATE("R2C",'Mapa final'!#REF!),"")</f>
        <v>#REF!</v>
      </c>
      <c r="AM7" s="41" t="e">
        <f>IF(AND('Mapa final'!#REF!="Muy Alta",'Mapa final'!#REF!="Catastrófico"),CONCATENATE("R2C",'Mapa final'!#REF!),"")</f>
        <v>#REF!</v>
      </c>
      <c r="AN7" s="1"/>
      <c r="AO7" s="267"/>
      <c r="AP7" s="170"/>
      <c r="AQ7" s="170"/>
      <c r="AR7" s="170"/>
      <c r="AS7" s="170"/>
      <c r="AT7" s="268"/>
      <c r="AU7" s="1"/>
      <c r="AV7" s="1"/>
      <c r="AW7" s="1"/>
      <c r="AX7" s="1"/>
      <c r="AY7" s="1"/>
      <c r="AZ7" s="1"/>
      <c r="BA7" s="1"/>
      <c r="BB7" s="1"/>
      <c r="BC7" s="1"/>
      <c r="BD7" s="1"/>
      <c r="BE7" s="1"/>
      <c r="BF7" s="1"/>
      <c r="BG7" s="1"/>
      <c r="BH7" s="1"/>
      <c r="BI7" s="1"/>
    </row>
    <row r="8" spans="1:61" ht="15" customHeight="1" x14ac:dyDescent="0.25">
      <c r="A8" s="1"/>
      <c r="B8" s="258"/>
      <c r="C8" s="170"/>
      <c r="D8" s="171"/>
      <c r="E8" s="182"/>
      <c r="F8" s="170"/>
      <c r="G8" s="170"/>
      <c r="H8" s="170"/>
      <c r="I8" s="171"/>
      <c r="J8" s="36" t="str">
        <f ca="1">IF(AND('Mapa final'!$AY$14="Muy Alta",'Mapa final'!$BA$14="Leve"),CONCATENATE("R3C",'Mapa final'!$AL$14),"")</f>
        <v/>
      </c>
      <c r="K8" s="37" t="e">
        <f>IF(AND('Mapa final'!#REF!="Muy Alta",'Mapa final'!#REF!="Leve"),CONCATENATE("R3C",'Mapa final'!#REF!),"")</f>
        <v>#REF!</v>
      </c>
      <c r="L8" s="37" t="e">
        <f>IF(AND('Mapa final'!#REF!="Muy Alta",'Mapa final'!#REF!="Leve"),CONCATENATE("R3C",'Mapa final'!#REF!),"")</f>
        <v>#REF!</v>
      </c>
      <c r="M8" s="37" t="e">
        <f>IF(AND('Mapa final'!#REF!="Muy Alta",'Mapa final'!#REF!="Leve"),CONCATENATE("R3C",'Mapa final'!#REF!),"")</f>
        <v>#REF!</v>
      </c>
      <c r="N8" s="37" t="e">
        <f>IF(AND('Mapa final'!#REF!="Muy Alta",'Mapa final'!#REF!="Leve"),CONCATENATE("R3C",'Mapa final'!#REF!),"")</f>
        <v>#REF!</v>
      </c>
      <c r="O8" s="38" t="e">
        <f>IF(AND('Mapa final'!#REF!="Muy Alta",'Mapa final'!#REF!="Leve"),CONCATENATE("R3C",'Mapa final'!#REF!),"")</f>
        <v>#REF!</v>
      </c>
      <c r="P8" s="36" t="str">
        <f ca="1">IF(AND('Mapa final'!$AY$14="Muy Alta",'Mapa final'!$BA$14="Menor"),CONCATENATE("R3C",'Mapa final'!$AL$14),"")</f>
        <v/>
      </c>
      <c r="Q8" s="37" t="e">
        <f>IF(AND('Mapa final'!#REF!="Muy Alta",'Mapa final'!#REF!="Menor"),CONCATENATE("R3C",'Mapa final'!#REF!),"")</f>
        <v>#REF!</v>
      </c>
      <c r="R8" s="37" t="e">
        <f>IF(AND('Mapa final'!#REF!="Muy Alta",'Mapa final'!#REF!="Menor"),CONCATENATE("R3C",'Mapa final'!#REF!),"")</f>
        <v>#REF!</v>
      </c>
      <c r="S8" s="37" t="e">
        <f>IF(AND('Mapa final'!#REF!="Muy Alta",'Mapa final'!#REF!="Menor"),CONCATENATE("R3C",'Mapa final'!#REF!),"")</f>
        <v>#REF!</v>
      </c>
      <c r="T8" s="37" t="e">
        <f>IF(AND('Mapa final'!#REF!="Muy Alta",'Mapa final'!#REF!="Menor"),CONCATENATE("R3C",'Mapa final'!#REF!),"")</f>
        <v>#REF!</v>
      </c>
      <c r="U8" s="38" t="e">
        <f>IF(AND('Mapa final'!#REF!="Muy Alta",'Mapa final'!#REF!="Menor"),CONCATENATE("R3C",'Mapa final'!#REF!),"")</f>
        <v>#REF!</v>
      </c>
      <c r="V8" s="36" t="str">
        <f ca="1">IF(AND('Mapa final'!$AY$14="Muy Alta",'Mapa final'!$BA$14="Moderado"),CONCATENATE("R3C",'Mapa final'!$AL$14),"")</f>
        <v/>
      </c>
      <c r="W8" s="37" t="e">
        <f>IF(AND('Mapa final'!#REF!="Muy Alta",'Mapa final'!#REF!="Moderado"),CONCATENATE("R3C",'Mapa final'!#REF!),"")</f>
        <v>#REF!</v>
      </c>
      <c r="X8" s="37" t="e">
        <f>IF(AND('Mapa final'!#REF!="Muy Alta",'Mapa final'!#REF!="Moderado"),CONCATENATE("R3C",'Mapa final'!#REF!),"")</f>
        <v>#REF!</v>
      </c>
      <c r="Y8" s="37" t="e">
        <f>IF(AND('Mapa final'!#REF!="Muy Alta",'Mapa final'!#REF!="Moderado"),CONCATENATE("R3C",'Mapa final'!#REF!),"")</f>
        <v>#REF!</v>
      </c>
      <c r="Z8" s="37" t="e">
        <f>IF(AND('Mapa final'!#REF!="Muy Alta",'Mapa final'!#REF!="Moderado"),CONCATENATE("R3C",'Mapa final'!#REF!),"")</f>
        <v>#REF!</v>
      </c>
      <c r="AA8" s="38" t="e">
        <f>IF(AND('Mapa final'!#REF!="Muy Alta",'Mapa final'!#REF!="Moderado"),CONCATENATE("R3C",'Mapa final'!#REF!),"")</f>
        <v>#REF!</v>
      </c>
      <c r="AB8" s="36" t="str">
        <f ca="1">IF(AND('Mapa final'!$AY$14="Muy Alta",'Mapa final'!$BA$14="Mayor"),CONCATENATE("R3C",'Mapa final'!$AL$14),"")</f>
        <v/>
      </c>
      <c r="AC8" s="37" t="e">
        <f>IF(AND('Mapa final'!#REF!="Muy Alta",'Mapa final'!#REF!="Mayor"),CONCATENATE("R3C",'Mapa final'!#REF!),"")</f>
        <v>#REF!</v>
      </c>
      <c r="AD8" s="37" t="e">
        <f>IF(AND('Mapa final'!#REF!="Muy Alta",'Mapa final'!#REF!="Mayor"),CONCATENATE("R3C",'Mapa final'!#REF!),"")</f>
        <v>#REF!</v>
      </c>
      <c r="AE8" s="37" t="e">
        <f>IF(AND('Mapa final'!#REF!="Muy Alta",'Mapa final'!#REF!="Mayor"),CONCATENATE("R3C",'Mapa final'!#REF!),"")</f>
        <v>#REF!</v>
      </c>
      <c r="AF8" s="37" t="e">
        <f>IF(AND('Mapa final'!#REF!="Muy Alta",'Mapa final'!#REF!="Mayor"),CONCATENATE("R3C",'Mapa final'!#REF!),"")</f>
        <v>#REF!</v>
      </c>
      <c r="AG8" s="38" t="e">
        <f>IF(AND('Mapa final'!#REF!="Muy Alta",'Mapa final'!#REF!="Mayor"),CONCATENATE("R3C",'Mapa final'!#REF!),"")</f>
        <v>#REF!</v>
      </c>
      <c r="AH8" s="39" t="str">
        <f ca="1">IF(AND('Mapa final'!$AY$14="Muy Alta",'Mapa final'!$BA$14="Catastrófico"),CONCATENATE("R3C",'Mapa final'!$AL$14),"")</f>
        <v/>
      </c>
      <c r="AI8" s="40" t="e">
        <f>IF(AND('Mapa final'!#REF!="Muy Alta",'Mapa final'!#REF!="Catastrófico"),CONCATENATE("R3C",'Mapa final'!#REF!),"")</f>
        <v>#REF!</v>
      </c>
      <c r="AJ8" s="40" t="e">
        <f>IF(AND('Mapa final'!#REF!="Muy Alta",'Mapa final'!#REF!="Catastrófico"),CONCATENATE("R3C",'Mapa final'!#REF!),"")</f>
        <v>#REF!</v>
      </c>
      <c r="AK8" s="40" t="e">
        <f>IF(AND('Mapa final'!#REF!="Muy Alta",'Mapa final'!#REF!="Catastrófico"),CONCATENATE("R3C",'Mapa final'!#REF!),"")</f>
        <v>#REF!</v>
      </c>
      <c r="AL8" s="40" t="e">
        <f>IF(AND('Mapa final'!#REF!="Muy Alta",'Mapa final'!#REF!="Catastrófico"),CONCATENATE("R3C",'Mapa final'!#REF!),"")</f>
        <v>#REF!</v>
      </c>
      <c r="AM8" s="41" t="e">
        <f>IF(AND('Mapa final'!#REF!="Muy Alta",'Mapa final'!#REF!="Catastrófico"),CONCATENATE("R3C",'Mapa final'!#REF!),"")</f>
        <v>#REF!</v>
      </c>
      <c r="AN8" s="1"/>
      <c r="AO8" s="267"/>
      <c r="AP8" s="170"/>
      <c r="AQ8" s="170"/>
      <c r="AR8" s="170"/>
      <c r="AS8" s="170"/>
      <c r="AT8" s="268"/>
      <c r="AU8" s="1"/>
      <c r="AV8" s="1"/>
      <c r="AW8" s="1"/>
      <c r="AX8" s="1"/>
      <c r="AY8" s="1"/>
      <c r="AZ8" s="1"/>
      <c r="BA8" s="1"/>
      <c r="BB8" s="1"/>
      <c r="BC8" s="1"/>
      <c r="BD8" s="1"/>
      <c r="BE8" s="1"/>
      <c r="BF8" s="1"/>
      <c r="BG8" s="1"/>
      <c r="BH8" s="1"/>
      <c r="BI8" s="1"/>
    </row>
    <row r="9" spans="1:61" ht="15" customHeight="1" x14ac:dyDescent="0.25">
      <c r="A9" s="1"/>
      <c r="B9" s="258"/>
      <c r="C9" s="170"/>
      <c r="D9" s="171"/>
      <c r="E9" s="182"/>
      <c r="F9" s="170"/>
      <c r="G9" s="170"/>
      <c r="H9" s="170"/>
      <c r="I9" s="171"/>
      <c r="J9" s="36" t="str">
        <f ca="1">IF(AND('Mapa final'!$AY$15="Muy Alta",'Mapa final'!$BA$15="Leve"),CONCATENATE("R4C",'Mapa final'!$AL$15),"")</f>
        <v/>
      </c>
      <c r="K9" s="37" t="str">
        <f>IF(AND('Mapa final'!$AY$16="Muy Alta",'Mapa final'!$BA$16="Leve"),CONCATENATE("R4C",'Mapa final'!$AL$16),"")</f>
        <v/>
      </c>
      <c r="L9" s="37" t="str">
        <f>IF(AND('Mapa final'!$AY$17="Muy Alta",'Mapa final'!$BA$17="Leve"),CONCATENATE("R4C",'Mapa final'!$AL$17),"")</f>
        <v/>
      </c>
      <c r="M9" s="37" t="e">
        <f>IF(AND('Mapa final'!#REF!="Muy Alta",'Mapa final'!#REF!="Leve"),CONCATENATE("R4C",'Mapa final'!#REF!),"")</f>
        <v>#REF!</v>
      </c>
      <c r="N9" s="37" t="e">
        <f>IF(AND('Mapa final'!#REF!="Muy Alta",'Mapa final'!#REF!="Leve"),CONCATENATE("R4C",'Mapa final'!#REF!),"")</f>
        <v>#REF!</v>
      </c>
      <c r="O9" s="38" t="e">
        <f>IF(AND('Mapa final'!#REF!="Muy Alta",'Mapa final'!#REF!="Leve"),CONCATENATE("R4C",'Mapa final'!#REF!),"")</f>
        <v>#REF!</v>
      </c>
      <c r="P9" s="36" t="str">
        <f ca="1">IF(AND('Mapa final'!$AY$15="Muy Alta",'Mapa final'!$BA$15="Menor"),CONCATENATE("R4C",'Mapa final'!$AL$15),"")</f>
        <v/>
      </c>
      <c r="Q9" s="37" t="str">
        <f>IF(AND('Mapa final'!$AY$16="Muy Alta",'Mapa final'!$BA$16="Menor"),CONCATENATE("R4C",'Mapa final'!$AL$16),"")</f>
        <v/>
      </c>
      <c r="R9" s="37" t="str">
        <f>IF(AND('Mapa final'!$AY$17="Muy Alta",'Mapa final'!$BA$17="Menor"),CONCATENATE("R4C",'Mapa final'!$AL$17),"")</f>
        <v/>
      </c>
      <c r="S9" s="37" t="e">
        <f>IF(AND('Mapa final'!#REF!="Muy Alta",'Mapa final'!#REF!="Menor"),CONCATENATE("R4C",'Mapa final'!#REF!),"")</f>
        <v>#REF!</v>
      </c>
      <c r="T9" s="37" t="e">
        <f>IF(AND('Mapa final'!#REF!="Muy Alta",'Mapa final'!#REF!="Menor"),CONCATENATE("R4C",'Mapa final'!#REF!),"")</f>
        <v>#REF!</v>
      </c>
      <c r="U9" s="38" t="e">
        <f>IF(AND('Mapa final'!#REF!="Muy Alta",'Mapa final'!#REF!="Menor"),CONCATENATE("R4C",'Mapa final'!#REF!),"")</f>
        <v>#REF!</v>
      </c>
      <c r="V9" s="36" t="str">
        <f ca="1">IF(AND('Mapa final'!$AY$15="Muy Alta",'Mapa final'!$BA$15="Moderado"),CONCATENATE("R4C",'Mapa final'!$AL$15),"")</f>
        <v/>
      </c>
      <c r="W9" s="37" t="str">
        <f>IF(AND('Mapa final'!$AY$16="Muy Alta",'Mapa final'!$BA$16="Moderado"),CONCATENATE("R4C",'Mapa final'!$AL$16),"")</f>
        <v/>
      </c>
      <c r="X9" s="37" t="str">
        <f>IF(AND('Mapa final'!$AY$17="Muy Alta",'Mapa final'!$BA$17="Moderado"),CONCATENATE("R4C",'Mapa final'!$AL$17),"")</f>
        <v/>
      </c>
      <c r="Y9" s="37" t="e">
        <f>IF(AND('Mapa final'!#REF!="Muy Alta",'Mapa final'!#REF!="Moderado"),CONCATENATE("R4C",'Mapa final'!#REF!),"")</f>
        <v>#REF!</v>
      </c>
      <c r="Z9" s="37" t="e">
        <f>IF(AND('Mapa final'!#REF!="Muy Alta",'Mapa final'!#REF!="Moderado"),CONCATENATE("R4C",'Mapa final'!#REF!),"")</f>
        <v>#REF!</v>
      </c>
      <c r="AA9" s="38" t="e">
        <f>IF(AND('Mapa final'!#REF!="Muy Alta",'Mapa final'!#REF!="Moderado"),CONCATENATE("R4C",'Mapa final'!#REF!),"")</f>
        <v>#REF!</v>
      </c>
      <c r="AB9" s="36" t="str">
        <f ca="1">IF(AND('Mapa final'!$AY$15="Muy Alta",'Mapa final'!$BA$15="Mayor"),CONCATENATE("R4C",'Mapa final'!$AL$15),"")</f>
        <v/>
      </c>
      <c r="AC9" s="37" t="str">
        <f>IF(AND('Mapa final'!$AY$16="Muy Alta",'Mapa final'!$BA$16="Mayor"),CONCATENATE("R4C",'Mapa final'!$AL$16),"")</f>
        <v/>
      </c>
      <c r="AD9" s="37" t="str">
        <f>IF(AND('Mapa final'!$AY$17="Muy Alta",'Mapa final'!$BA$17="Mayor"),CONCATENATE("R4C",'Mapa final'!$AL$17),"")</f>
        <v/>
      </c>
      <c r="AE9" s="37" t="e">
        <f>IF(AND('Mapa final'!#REF!="Muy Alta",'Mapa final'!#REF!="Mayor"),CONCATENATE("R4C",'Mapa final'!#REF!),"")</f>
        <v>#REF!</v>
      </c>
      <c r="AF9" s="37" t="e">
        <f>IF(AND('Mapa final'!#REF!="Muy Alta",'Mapa final'!#REF!="Mayor"),CONCATENATE("R4C",'Mapa final'!#REF!),"")</f>
        <v>#REF!</v>
      </c>
      <c r="AG9" s="38" t="e">
        <f>IF(AND('Mapa final'!#REF!="Muy Alta",'Mapa final'!#REF!="Mayor"),CONCATENATE("R4C",'Mapa final'!#REF!),"")</f>
        <v>#REF!</v>
      </c>
      <c r="AH9" s="39" t="str">
        <f ca="1">IF(AND('Mapa final'!$AY$15="Muy Alta",'Mapa final'!$BA$15="Catastrófico"),CONCATENATE("R4C",'Mapa final'!$AL$15),"")</f>
        <v/>
      </c>
      <c r="AI9" s="40" t="str">
        <f>IF(AND('Mapa final'!$AY$16="Muy Alta",'Mapa final'!$BA$16="Catastrófico"),CONCATENATE("R4C",'Mapa final'!$AL$16),"")</f>
        <v/>
      </c>
      <c r="AJ9" s="40" t="str">
        <f>IF(AND('Mapa final'!$AY$17="Muy Alta",'Mapa final'!$BA$17="Catastrófico"),CONCATENATE("R4C",'Mapa final'!$AL$17),"")</f>
        <v/>
      </c>
      <c r="AK9" s="40" t="e">
        <f>IF(AND('Mapa final'!#REF!="Muy Alta",'Mapa final'!#REF!="Catastrófico"),CONCATENATE("R4C",'Mapa final'!#REF!),"")</f>
        <v>#REF!</v>
      </c>
      <c r="AL9" s="40" t="e">
        <f>IF(AND('Mapa final'!#REF!="Muy Alta",'Mapa final'!#REF!="Catastrófico"),CONCATENATE("R4C",'Mapa final'!#REF!),"")</f>
        <v>#REF!</v>
      </c>
      <c r="AM9" s="41" t="e">
        <f>IF(AND('Mapa final'!#REF!="Muy Alta",'Mapa final'!#REF!="Catastrófico"),CONCATENATE("R4C",'Mapa final'!#REF!),"")</f>
        <v>#REF!</v>
      </c>
      <c r="AN9" s="1"/>
      <c r="AO9" s="267"/>
      <c r="AP9" s="170"/>
      <c r="AQ9" s="170"/>
      <c r="AR9" s="170"/>
      <c r="AS9" s="170"/>
      <c r="AT9" s="268"/>
      <c r="AU9" s="1"/>
      <c r="AV9" s="1"/>
      <c r="AW9" s="1"/>
      <c r="AX9" s="1"/>
      <c r="AY9" s="1"/>
      <c r="AZ9" s="1"/>
      <c r="BA9" s="1"/>
      <c r="BB9" s="1"/>
      <c r="BC9" s="1"/>
      <c r="BD9" s="1"/>
      <c r="BE9" s="1"/>
      <c r="BF9" s="1"/>
      <c r="BG9" s="1"/>
      <c r="BH9" s="1"/>
      <c r="BI9" s="1"/>
    </row>
    <row r="10" spans="1:61" ht="15" customHeight="1" x14ac:dyDescent="0.25">
      <c r="A10" s="1"/>
      <c r="B10" s="258"/>
      <c r="C10" s="170"/>
      <c r="D10" s="171"/>
      <c r="E10" s="182"/>
      <c r="F10" s="170"/>
      <c r="G10" s="170"/>
      <c r="H10" s="170"/>
      <c r="I10" s="171"/>
      <c r="J10" s="36" t="str">
        <f ca="1">IF(AND('Mapa final'!$AY$18="Muy Alta",'Mapa final'!$BA$18="Leve"),CONCATENATE("R5C",'Mapa final'!$AL$18),"")</f>
        <v/>
      </c>
      <c r="K10" s="37" t="e">
        <f>IF(AND('Mapa final'!#REF!="Muy Alta",'Mapa final'!#REF!="Leve"),CONCATENATE("R5C",'Mapa final'!#REF!),"")</f>
        <v>#REF!</v>
      </c>
      <c r="L10" s="37" t="e">
        <f>IF(AND('Mapa final'!#REF!="Muy Alta",'Mapa final'!#REF!="Leve"),CONCATENATE("R5C",'Mapa final'!#REF!),"")</f>
        <v>#REF!</v>
      </c>
      <c r="M10" s="37" t="e">
        <f>IF(AND('Mapa final'!#REF!="Muy Alta",'Mapa final'!#REF!="Leve"),CONCATENATE("R5C",'Mapa final'!#REF!),"")</f>
        <v>#REF!</v>
      </c>
      <c r="N10" s="37" t="e">
        <f>IF(AND('Mapa final'!#REF!="Muy Alta",'Mapa final'!#REF!="Leve"),CONCATENATE("R5C",'Mapa final'!#REF!),"")</f>
        <v>#REF!</v>
      </c>
      <c r="O10" s="38" t="e">
        <f>IF(AND('Mapa final'!#REF!="Muy Alta",'Mapa final'!#REF!="Leve"),CONCATENATE("R5C",'Mapa final'!#REF!),"")</f>
        <v>#REF!</v>
      </c>
      <c r="P10" s="36" t="str">
        <f ca="1">IF(AND('Mapa final'!$AY$18="Muy Alta",'Mapa final'!$BA$18="Menor"),CONCATENATE("R5C",'Mapa final'!$AL$18),"")</f>
        <v/>
      </c>
      <c r="Q10" s="37" t="e">
        <f>IF(AND('Mapa final'!#REF!="Muy Alta",'Mapa final'!#REF!="Menor"),CONCATENATE("R5C",'Mapa final'!#REF!),"")</f>
        <v>#REF!</v>
      </c>
      <c r="R10" s="37" t="e">
        <f>IF(AND('Mapa final'!#REF!="Muy Alta",'Mapa final'!#REF!="Menor"),CONCATENATE("R5C",'Mapa final'!#REF!),"")</f>
        <v>#REF!</v>
      </c>
      <c r="S10" s="37" t="e">
        <f>IF(AND('Mapa final'!#REF!="Muy Alta",'Mapa final'!#REF!="Menor"),CONCATENATE("R5C",'Mapa final'!#REF!),"")</f>
        <v>#REF!</v>
      </c>
      <c r="T10" s="37" t="e">
        <f>IF(AND('Mapa final'!#REF!="Muy Alta",'Mapa final'!#REF!="Menor"),CONCATENATE("R5C",'Mapa final'!#REF!),"")</f>
        <v>#REF!</v>
      </c>
      <c r="U10" s="38" t="e">
        <f>IF(AND('Mapa final'!#REF!="Muy Alta",'Mapa final'!#REF!="Menor"),CONCATENATE("R5C",'Mapa final'!#REF!),"")</f>
        <v>#REF!</v>
      </c>
      <c r="V10" s="36" t="str">
        <f ca="1">IF(AND('Mapa final'!$AY$18="Muy Alta",'Mapa final'!$BA$18="Moderado"),CONCATENATE("R5C",'Mapa final'!$AL$18),"")</f>
        <v/>
      </c>
      <c r="W10" s="37" t="e">
        <f>IF(AND('Mapa final'!#REF!="Muy Alta",'Mapa final'!#REF!="Moderado"),CONCATENATE("R5C",'Mapa final'!#REF!),"")</f>
        <v>#REF!</v>
      </c>
      <c r="X10" s="37" t="e">
        <f>IF(AND('Mapa final'!#REF!="Muy Alta",'Mapa final'!#REF!="Moderado"),CONCATENATE("R5C",'Mapa final'!#REF!),"")</f>
        <v>#REF!</v>
      </c>
      <c r="Y10" s="37" t="e">
        <f>IF(AND('Mapa final'!#REF!="Muy Alta",'Mapa final'!#REF!="Moderado"),CONCATENATE("R5C",'Mapa final'!#REF!),"")</f>
        <v>#REF!</v>
      </c>
      <c r="Z10" s="37" t="e">
        <f>IF(AND('Mapa final'!#REF!="Muy Alta",'Mapa final'!#REF!="Moderado"),CONCATENATE("R5C",'Mapa final'!#REF!),"")</f>
        <v>#REF!</v>
      </c>
      <c r="AA10" s="38" t="e">
        <f>IF(AND('Mapa final'!#REF!="Muy Alta",'Mapa final'!#REF!="Moderado"),CONCATENATE("R5C",'Mapa final'!#REF!),"")</f>
        <v>#REF!</v>
      </c>
      <c r="AB10" s="36" t="str">
        <f ca="1">IF(AND('Mapa final'!$AY$18="Muy Alta",'Mapa final'!$BA$18="Mayor"),CONCATENATE("R5C",'Mapa final'!$AL$18),"")</f>
        <v/>
      </c>
      <c r="AC10" s="37" t="e">
        <f>IF(AND('Mapa final'!#REF!="Muy Alta",'Mapa final'!#REF!="Mayor"),CONCATENATE("R5C",'Mapa final'!#REF!),"")</f>
        <v>#REF!</v>
      </c>
      <c r="AD10" s="37" t="e">
        <f>IF(AND('Mapa final'!#REF!="Muy Alta",'Mapa final'!#REF!="Mayor"),CONCATENATE("R5C",'Mapa final'!#REF!),"")</f>
        <v>#REF!</v>
      </c>
      <c r="AE10" s="37" t="e">
        <f>IF(AND('Mapa final'!#REF!="Muy Alta",'Mapa final'!#REF!="Mayor"),CONCATENATE("R5C",'Mapa final'!#REF!),"")</f>
        <v>#REF!</v>
      </c>
      <c r="AF10" s="37" t="e">
        <f>IF(AND('Mapa final'!#REF!="Muy Alta",'Mapa final'!#REF!="Mayor"),CONCATENATE("R5C",'Mapa final'!#REF!),"")</f>
        <v>#REF!</v>
      </c>
      <c r="AG10" s="38" t="e">
        <f>IF(AND('Mapa final'!#REF!="Muy Alta",'Mapa final'!#REF!="Mayor"),CONCATENATE("R5C",'Mapa final'!#REF!),"")</f>
        <v>#REF!</v>
      </c>
      <c r="AH10" s="39" t="str">
        <f ca="1">IF(AND('Mapa final'!$AY$18="Muy Alta",'Mapa final'!$BA$18="Catastrófico"),CONCATENATE("R5C",'Mapa final'!$AL$18),"")</f>
        <v/>
      </c>
      <c r="AI10" s="40" t="e">
        <f>IF(AND('Mapa final'!#REF!="Muy Alta",'Mapa final'!#REF!="Catastrófico"),CONCATENATE("R5C",'Mapa final'!#REF!),"")</f>
        <v>#REF!</v>
      </c>
      <c r="AJ10" s="40" t="e">
        <f>IF(AND('Mapa final'!#REF!="Muy Alta",'Mapa final'!#REF!="Catastrófico"),CONCATENATE("R5C",'Mapa final'!#REF!),"")</f>
        <v>#REF!</v>
      </c>
      <c r="AK10" s="40" t="e">
        <f>IF(AND('Mapa final'!#REF!="Muy Alta",'Mapa final'!#REF!="Catastrófico"),CONCATENATE("R5C",'Mapa final'!#REF!),"")</f>
        <v>#REF!</v>
      </c>
      <c r="AL10" s="40" t="e">
        <f>IF(AND('Mapa final'!#REF!="Muy Alta",'Mapa final'!#REF!="Catastrófico"),CONCATENATE("R5C",'Mapa final'!#REF!),"")</f>
        <v>#REF!</v>
      </c>
      <c r="AM10" s="41" t="e">
        <f>IF(AND('Mapa final'!#REF!="Muy Alta",'Mapa final'!#REF!="Catastrófico"),CONCATENATE("R5C",'Mapa final'!#REF!),"")</f>
        <v>#REF!</v>
      </c>
      <c r="AN10" s="1"/>
      <c r="AO10" s="267"/>
      <c r="AP10" s="170"/>
      <c r="AQ10" s="170"/>
      <c r="AR10" s="170"/>
      <c r="AS10" s="170"/>
      <c r="AT10" s="268"/>
      <c r="AU10" s="1"/>
      <c r="AV10" s="1"/>
      <c r="AW10" s="1"/>
      <c r="AX10" s="1"/>
      <c r="AY10" s="1"/>
      <c r="AZ10" s="1"/>
      <c r="BA10" s="1"/>
      <c r="BB10" s="1"/>
      <c r="BC10" s="1"/>
      <c r="BD10" s="1"/>
      <c r="BE10" s="1"/>
      <c r="BF10" s="1"/>
      <c r="BG10" s="1"/>
      <c r="BH10" s="1"/>
      <c r="BI10" s="1"/>
    </row>
    <row r="11" spans="1:61" ht="15" customHeight="1" x14ac:dyDescent="0.25">
      <c r="A11" s="1"/>
      <c r="B11" s="258"/>
      <c r="C11" s="170"/>
      <c r="D11" s="171"/>
      <c r="E11" s="182"/>
      <c r="F11" s="170"/>
      <c r="G11" s="170"/>
      <c r="H11" s="170"/>
      <c r="I11" s="171"/>
      <c r="J11" s="36" t="str">
        <f ca="1">IF(AND('Mapa final'!$AY$19="Muy Alta",'Mapa final'!$BA$19="Leve"),CONCATENATE("R6C",'Mapa final'!$AL$19),"")</f>
        <v/>
      </c>
      <c r="K11" s="37" t="str">
        <f ca="1">IF(AND('Mapa final'!$AY$20="Muy Alta",'Mapa final'!$BA$20="Leve"),CONCATENATE("R6C",'Mapa final'!$AL$20),"")</f>
        <v/>
      </c>
      <c r="L11" s="37" t="e">
        <f>IF(AND('Mapa final'!#REF!="Muy Alta",'Mapa final'!#REF!="Leve"),CONCATENATE("R6C",'Mapa final'!#REF!),"")</f>
        <v>#REF!</v>
      </c>
      <c r="M11" s="37" t="e">
        <f>IF(AND('Mapa final'!#REF!="Muy Alta",'Mapa final'!#REF!="Leve"),CONCATENATE("R6C",'Mapa final'!#REF!),"")</f>
        <v>#REF!</v>
      </c>
      <c r="N11" s="37" t="e">
        <f>IF(AND('Mapa final'!#REF!="Muy Alta",'Mapa final'!#REF!="Leve"),CONCATENATE("R6C",'Mapa final'!#REF!),"")</f>
        <v>#REF!</v>
      </c>
      <c r="O11" s="38" t="e">
        <f>IF(AND('Mapa final'!#REF!="Muy Alta",'Mapa final'!#REF!="Leve"),CONCATENATE("R6C",'Mapa final'!#REF!),"")</f>
        <v>#REF!</v>
      </c>
      <c r="P11" s="36" t="str">
        <f ca="1">IF(AND('Mapa final'!$AY$19="Muy Alta",'Mapa final'!$BA$19="Menor"),CONCATENATE("R6C",'Mapa final'!$AL$19),"")</f>
        <v/>
      </c>
      <c r="Q11" s="37" t="str">
        <f ca="1">IF(AND('Mapa final'!$AY$20="Muy Alta",'Mapa final'!$BA$20="Menor"),CONCATENATE("R6C",'Mapa final'!$AL$20),"")</f>
        <v/>
      </c>
      <c r="R11" s="37" t="e">
        <f>IF(AND('Mapa final'!#REF!="Muy Alta",'Mapa final'!#REF!="Menor"),CONCATENATE("R6C",'Mapa final'!#REF!),"")</f>
        <v>#REF!</v>
      </c>
      <c r="S11" s="37" t="e">
        <f>IF(AND('Mapa final'!#REF!="Muy Alta",'Mapa final'!#REF!="Menor"),CONCATENATE("R6C",'Mapa final'!#REF!),"")</f>
        <v>#REF!</v>
      </c>
      <c r="T11" s="37" t="e">
        <f>IF(AND('Mapa final'!#REF!="Muy Alta",'Mapa final'!#REF!="Menor"),CONCATENATE("R6C",'Mapa final'!#REF!),"")</f>
        <v>#REF!</v>
      </c>
      <c r="U11" s="38" t="e">
        <f>IF(AND('Mapa final'!#REF!="Muy Alta",'Mapa final'!#REF!="Menor"),CONCATENATE("R6C",'Mapa final'!#REF!),"")</f>
        <v>#REF!</v>
      </c>
      <c r="V11" s="36" t="str">
        <f ca="1">IF(AND('Mapa final'!$AY$19="Muy Alta",'Mapa final'!$BA$19="Moderado"),CONCATENATE("R6C",'Mapa final'!$AL$19),"")</f>
        <v/>
      </c>
      <c r="W11" s="37" t="str">
        <f ca="1">IF(AND('Mapa final'!$AY$20="Muy Alta",'Mapa final'!$BA$20="Moderado"),CONCATENATE("R6C",'Mapa final'!$AL$20),"")</f>
        <v/>
      </c>
      <c r="X11" s="37" t="e">
        <f>IF(AND('Mapa final'!#REF!="Muy Alta",'Mapa final'!#REF!="Moderado"),CONCATENATE("R6C",'Mapa final'!#REF!),"")</f>
        <v>#REF!</v>
      </c>
      <c r="Y11" s="37" t="e">
        <f>IF(AND('Mapa final'!#REF!="Muy Alta",'Mapa final'!#REF!="Moderado"),CONCATENATE("R6C",'Mapa final'!#REF!),"")</f>
        <v>#REF!</v>
      </c>
      <c r="Z11" s="37" t="e">
        <f>IF(AND('Mapa final'!#REF!="Muy Alta",'Mapa final'!#REF!="Moderado"),CONCATENATE("R6C",'Mapa final'!#REF!),"")</f>
        <v>#REF!</v>
      </c>
      <c r="AA11" s="38" t="e">
        <f>IF(AND('Mapa final'!#REF!="Muy Alta",'Mapa final'!#REF!="Moderado"),CONCATENATE("R6C",'Mapa final'!#REF!),"")</f>
        <v>#REF!</v>
      </c>
      <c r="AB11" s="36" t="str">
        <f ca="1">IF(AND('Mapa final'!$AY$19="Muy Alta",'Mapa final'!$BA$19="Mayor"),CONCATENATE("R6C",'Mapa final'!$AL$19),"")</f>
        <v/>
      </c>
      <c r="AC11" s="37" t="str">
        <f ca="1">IF(AND('Mapa final'!$AY$20="Muy Alta",'Mapa final'!$BA$20="Mayor"),CONCATENATE("R6C",'Mapa final'!$AL$20),"")</f>
        <v/>
      </c>
      <c r="AD11" s="37" t="e">
        <f>IF(AND('Mapa final'!#REF!="Muy Alta",'Mapa final'!#REF!="Mayor"),CONCATENATE("R6C",'Mapa final'!#REF!),"")</f>
        <v>#REF!</v>
      </c>
      <c r="AE11" s="37" t="e">
        <f>IF(AND('Mapa final'!#REF!="Muy Alta",'Mapa final'!#REF!="Mayor"),CONCATENATE("R6C",'Mapa final'!#REF!),"")</f>
        <v>#REF!</v>
      </c>
      <c r="AF11" s="37" t="e">
        <f>IF(AND('Mapa final'!#REF!="Muy Alta",'Mapa final'!#REF!="Mayor"),CONCATENATE("R6C",'Mapa final'!#REF!),"")</f>
        <v>#REF!</v>
      </c>
      <c r="AG11" s="38" t="e">
        <f>IF(AND('Mapa final'!#REF!="Muy Alta",'Mapa final'!#REF!="Mayor"),CONCATENATE("R6C",'Mapa final'!#REF!),"")</f>
        <v>#REF!</v>
      </c>
      <c r="AH11" s="39" t="str">
        <f ca="1">IF(AND('Mapa final'!$AY$19="Muy Alta",'Mapa final'!$BA$19="Catastrófico"),CONCATENATE("R6C",'Mapa final'!$AL$19),"")</f>
        <v/>
      </c>
      <c r="AI11" s="40" t="str">
        <f ca="1">IF(AND('Mapa final'!$AY$20="Muy Alta",'Mapa final'!$BA$20="Catastrófico"),CONCATENATE("R6C",'Mapa final'!$AL$20),"")</f>
        <v/>
      </c>
      <c r="AJ11" s="40" t="e">
        <f>IF(AND('Mapa final'!#REF!="Muy Alta",'Mapa final'!#REF!="Catastrófico"),CONCATENATE("R6C",'Mapa final'!#REF!),"")</f>
        <v>#REF!</v>
      </c>
      <c r="AK11" s="40" t="e">
        <f>IF(AND('Mapa final'!#REF!="Muy Alta",'Mapa final'!#REF!="Catastrófico"),CONCATENATE("R6C",'Mapa final'!#REF!),"")</f>
        <v>#REF!</v>
      </c>
      <c r="AL11" s="40" t="e">
        <f>IF(AND('Mapa final'!#REF!="Muy Alta",'Mapa final'!#REF!="Catastrófico"),CONCATENATE("R6C",'Mapa final'!#REF!),"")</f>
        <v>#REF!</v>
      </c>
      <c r="AM11" s="41" t="e">
        <f>IF(AND('Mapa final'!#REF!="Muy Alta",'Mapa final'!#REF!="Catastrófico"),CONCATENATE("R6C",'Mapa final'!#REF!),"")</f>
        <v>#REF!</v>
      </c>
      <c r="AN11" s="1"/>
      <c r="AO11" s="267"/>
      <c r="AP11" s="170"/>
      <c r="AQ11" s="170"/>
      <c r="AR11" s="170"/>
      <c r="AS11" s="170"/>
      <c r="AT11" s="268"/>
      <c r="AU11" s="1"/>
      <c r="AV11" s="1"/>
      <c r="AW11" s="1"/>
      <c r="AX11" s="1"/>
      <c r="AY11" s="1"/>
      <c r="AZ11" s="1"/>
      <c r="BA11" s="1"/>
      <c r="BB11" s="1"/>
      <c r="BC11" s="1"/>
      <c r="BD11" s="1"/>
      <c r="BE11" s="1"/>
      <c r="BF11" s="1"/>
      <c r="BG11" s="1"/>
      <c r="BH11" s="1"/>
      <c r="BI11" s="1"/>
    </row>
    <row r="12" spans="1:61" ht="15" customHeight="1" x14ac:dyDescent="0.25">
      <c r="A12" s="1"/>
      <c r="B12" s="258"/>
      <c r="C12" s="170"/>
      <c r="D12" s="171"/>
      <c r="E12" s="182"/>
      <c r="F12" s="170"/>
      <c r="G12" s="170"/>
      <c r="H12" s="170"/>
      <c r="I12" s="171"/>
      <c r="J12" s="36" t="str">
        <f ca="1">IF(AND('Mapa final'!$AY$21="Muy Alta",'Mapa final'!$BA$21="Leve"),CONCATENATE("R7C",'Mapa final'!$AL$21),"")</f>
        <v/>
      </c>
      <c r="K12" s="37" t="str">
        <f ca="1">IF(AND('Mapa final'!$AY$22="Muy Alta",'Mapa final'!$BA$22="Leve"),CONCATENATE("R7C",'Mapa final'!$AL$22),"")</f>
        <v/>
      </c>
      <c r="L12" s="37" t="e">
        <f>IF(AND('Mapa final'!#REF!="Muy Alta",'Mapa final'!#REF!="Leve"),CONCATENATE("R7C",'Mapa final'!#REF!),"")</f>
        <v>#REF!</v>
      </c>
      <c r="M12" s="37" t="e">
        <f>IF(AND('Mapa final'!#REF!="Muy Alta",'Mapa final'!#REF!="Leve"),CONCATENATE("R7C",'Mapa final'!#REF!),"")</f>
        <v>#REF!</v>
      </c>
      <c r="N12" s="37" t="e">
        <f>IF(AND('Mapa final'!#REF!="Muy Alta",'Mapa final'!#REF!="Leve"),CONCATENATE("R7C",'Mapa final'!#REF!),"")</f>
        <v>#REF!</v>
      </c>
      <c r="O12" s="38" t="e">
        <f>IF(AND('Mapa final'!#REF!="Muy Alta",'Mapa final'!#REF!="Leve"),CONCATENATE("R7C",'Mapa final'!#REF!),"")</f>
        <v>#REF!</v>
      </c>
      <c r="P12" s="36" t="str">
        <f ca="1">IF(AND('Mapa final'!$AY$21="Muy Alta",'Mapa final'!$BA$21="Menor"),CONCATENATE("R7C",'Mapa final'!$AL$21),"")</f>
        <v/>
      </c>
      <c r="Q12" s="37" t="str">
        <f ca="1">IF(AND('Mapa final'!$AY$22="Muy Alta",'Mapa final'!$BA$22="Menor"),CONCATENATE("R7C",'Mapa final'!$AL$22),"")</f>
        <v/>
      </c>
      <c r="R12" s="37" t="e">
        <f>IF(AND('Mapa final'!#REF!="Muy Alta",'Mapa final'!#REF!="Menor"),CONCATENATE("R7C",'Mapa final'!#REF!),"")</f>
        <v>#REF!</v>
      </c>
      <c r="S12" s="37" t="e">
        <f>IF(AND('Mapa final'!#REF!="Muy Alta",'Mapa final'!#REF!="Menor"),CONCATENATE("R7C",'Mapa final'!#REF!),"")</f>
        <v>#REF!</v>
      </c>
      <c r="T12" s="37" t="e">
        <f>IF(AND('Mapa final'!#REF!="Muy Alta",'Mapa final'!#REF!="Menor"),CONCATENATE("R7C",'Mapa final'!#REF!),"")</f>
        <v>#REF!</v>
      </c>
      <c r="U12" s="38" t="e">
        <f>IF(AND('Mapa final'!#REF!="Muy Alta",'Mapa final'!#REF!="Menor"),CONCATENATE("R7C",'Mapa final'!#REF!),"")</f>
        <v>#REF!</v>
      </c>
      <c r="V12" s="36" t="str">
        <f ca="1">IF(AND('Mapa final'!$AY$21="Muy Alta",'Mapa final'!$BA$21="Moderado"),CONCATENATE("R7C",'Mapa final'!$AL$21),"")</f>
        <v/>
      </c>
      <c r="W12" s="37" t="str">
        <f ca="1">IF(AND('Mapa final'!$AY$22="Muy Alta",'Mapa final'!$BA$22="Moderado"),CONCATENATE("R7C",'Mapa final'!$AL$22),"")</f>
        <v/>
      </c>
      <c r="X12" s="37" t="e">
        <f>IF(AND('Mapa final'!#REF!="Muy Alta",'Mapa final'!#REF!="Moderado"),CONCATENATE("R7C",'Mapa final'!#REF!),"")</f>
        <v>#REF!</v>
      </c>
      <c r="Y12" s="37" t="e">
        <f>IF(AND('Mapa final'!#REF!="Muy Alta",'Mapa final'!#REF!="Moderado"),CONCATENATE("R7C",'Mapa final'!#REF!),"")</f>
        <v>#REF!</v>
      </c>
      <c r="Z12" s="37" t="e">
        <f>IF(AND('Mapa final'!#REF!="Muy Alta",'Mapa final'!#REF!="Moderado"),CONCATENATE("R7C",'Mapa final'!#REF!),"")</f>
        <v>#REF!</v>
      </c>
      <c r="AA12" s="38" t="e">
        <f>IF(AND('Mapa final'!#REF!="Muy Alta",'Mapa final'!#REF!="Moderado"),CONCATENATE("R7C",'Mapa final'!#REF!),"")</f>
        <v>#REF!</v>
      </c>
      <c r="AB12" s="36" t="str">
        <f ca="1">IF(AND('Mapa final'!$AY$21="Muy Alta",'Mapa final'!$BA$21="Mayor"),CONCATENATE("R7C",'Mapa final'!$AL$21),"")</f>
        <v/>
      </c>
      <c r="AC12" s="37" t="str">
        <f ca="1">IF(AND('Mapa final'!$AY$22="Muy Alta",'Mapa final'!$BA$22="Mayor"),CONCATENATE("R7C",'Mapa final'!$AL$22),"")</f>
        <v/>
      </c>
      <c r="AD12" s="37" t="e">
        <f>IF(AND('Mapa final'!#REF!="Muy Alta",'Mapa final'!#REF!="Mayor"),CONCATENATE("R7C",'Mapa final'!#REF!),"")</f>
        <v>#REF!</v>
      </c>
      <c r="AE12" s="37" t="e">
        <f>IF(AND('Mapa final'!#REF!="Muy Alta",'Mapa final'!#REF!="Mayor"),CONCATENATE("R7C",'Mapa final'!#REF!),"")</f>
        <v>#REF!</v>
      </c>
      <c r="AF12" s="37" t="e">
        <f>IF(AND('Mapa final'!#REF!="Muy Alta",'Mapa final'!#REF!="Mayor"),CONCATENATE("R7C",'Mapa final'!#REF!),"")</f>
        <v>#REF!</v>
      </c>
      <c r="AG12" s="38" t="e">
        <f>IF(AND('Mapa final'!#REF!="Muy Alta",'Mapa final'!#REF!="Mayor"),CONCATENATE("R7C",'Mapa final'!#REF!),"")</f>
        <v>#REF!</v>
      </c>
      <c r="AH12" s="39" t="str">
        <f ca="1">IF(AND('Mapa final'!$AY$21="Muy Alta",'Mapa final'!$BA$21="Catastrófico"),CONCATENATE("R7C",'Mapa final'!$AL$21),"")</f>
        <v/>
      </c>
      <c r="AI12" s="40" t="str">
        <f ca="1">IF(AND('Mapa final'!$AY$22="Muy Alta",'Mapa final'!$BA$22="Catastrófico"),CONCATENATE("R7C",'Mapa final'!$AL$22),"")</f>
        <v/>
      </c>
      <c r="AJ12" s="40" t="e">
        <f>IF(AND('Mapa final'!#REF!="Muy Alta",'Mapa final'!#REF!="Catastrófico"),CONCATENATE("R7C",'Mapa final'!#REF!),"")</f>
        <v>#REF!</v>
      </c>
      <c r="AK12" s="40" t="e">
        <f>IF(AND('Mapa final'!#REF!="Muy Alta",'Mapa final'!#REF!="Catastrófico"),CONCATENATE("R7C",'Mapa final'!#REF!),"")</f>
        <v>#REF!</v>
      </c>
      <c r="AL12" s="40" t="e">
        <f>IF(AND('Mapa final'!#REF!="Muy Alta",'Mapa final'!#REF!="Catastrófico"),CONCATENATE("R7C",'Mapa final'!#REF!),"")</f>
        <v>#REF!</v>
      </c>
      <c r="AM12" s="41" t="e">
        <f>IF(AND('Mapa final'!#REF!="Muy Alta",'Mapa final'!#REF!="Catastrófico"),CONCATENATE("R7C",'Mapa final'!#REF!),"")</f>
        <v>#REF!</v>
      </c>
      <c r="AN12" s="1"/>
      <c r="AO12" s="267"/>
      <c r="AP12" s="170"/>
      <c r="AQ12" s="170"/>
      <c r="AR12" s="170"/>
      <c r="AS12" s="170"/>
      <c r="AT12" s="268"/>
      <c r="AU12" s="1"/>
      <c r="AV12" s="1"/>
      <c r="AW12" s="1"/>
      <c r="AX12" s="1"/>
      <c r="AY12" s="1"/>
      <c r="AZ12" s="1"/>
      <c r="BA12" s="1"/>
      <c r="BB12" s="1"/>
      <c r="BC12" s="1"/>
      <c r="BD12" s="1"/>
      <c r="BE12" s="1"/>
      <c r="BF12" s="1"/>
      <c r="BG12" s="1"/>
      <c r="BH12" s="1"/>
      <c r="BI12" s="1"/>
    </row>
    <row r="13" spans="1:61" ht="15" customHeight="1" x14ac:dyDescent="0.25">
      <c r="A13" s="1"/>
      <c r="B13" s="258"/>
      <c r="C13" s="170"/>
      <c r="D13" s="171"/>
      <c r="E13" s="182"/>
      <c r="F13" s="170"/>
      <c r="G13" s="170"/>
      <c r="H13" s="170"/>
      <c r="I13" s="171"/>
      <c r="J13" s="36" t="str">
        <f ca="1">IF(AND('Mapa final'!$AY$23="Muy Alta",'Mapa final'!$BA$23="Leve"),CONCATENATE("R8C",'Mapa final'!$AL$23),"")</f>
        <v/>
      </c>
      <c r="K13" s="37" t="e">
        <f>IF(AND('Mapa final'!#REF!="Muy Alta",'Mapa final'!#REF!="Leve"),CONCATENATE("R8C",'Mapa final'!#REF!),"")</f>
        <v>#REF!</v>
      </c>
      <c r="L13" s="37" t="e">
        <f>IF(AND('Mapa final'!#REF!="Muy Alta",'Mapa final'!#REF!="Leve"),CONCATENATE("R8C",'Mapa final'!#REF!),"")</f>
        <v>#REF!</v>
      </c>
      <c r="M13" s="37" t="e">
        <f>IF(AND('Mapa final'!#REF!="Muy Alta",'Mapa final'!#REF!="Leve"),CONCATENATE("R8C",'Mapa final'!#REF!),"")</f>
        <v>#REF!</v>
      </c>
      <c r="N13" s="37" t="e">
        <f>IF(AND('Mapa final'!#REF!="Muy Alta",'Mapa final'!#REF!="Leve"),CONCATENATE("R8C",'Mapa final'!#REF!),"")</f>
        <v>#REF!</v>
      </c>
      <c r="O13" s="38" t="e">
        <f>IF(AND('Mapa final'!#REF!="Muy Alta",'Mapa final'!#REF!="Leve"),CONCATENATE("R8C",'Mapa final'!#REF!),"")</f>
        <v>#REF!</v>
      </c>
      <c r="P13" s="36" t="str">
        <f ca="1">IF(AND('Mapa final'!$AY$23="Muy Alta",'Mapa final'!$BA$23="Menor"),CONCATENATE("R8C",'Mapa final'!$AL$23),"")</f>
        <v/>
      </c>
      <c r="Q13" s="37" t="e">
        <f>IF(AND('Mapa final'!#REF!="Muy Alta",'Mapa final'!#REF!="Menor"),CONCATENATE("R8C",'Mapa final'!#REF!),"")</f>
        <v>#REF!</v>
      </c>
      <c r="R13" s="37" t="e">
        <f>IF(AND('Mapa final'!#REF!="Muy Alta",'Mapa final'!#REF!="Menor"),CONCATENATE("R8C",'Mapa final'!#REF!),"")</f>
        <v>#REF!</v>
      </c>
      <c r="S13" s="37" t="e">
        <f>IF(AND('Mapa final'!#REF!="Muy Alta",'Mapa final'!#REF!="Menor"),CONCATENATE("R8C",'Mapa final'!#REF!),"")</f>
        <v>#REF!</v>
      </c>
      <c r="T13" s="37" t="e">
        <f>IF(AND('Mapa final'!#REF!="Muy Alta",'Mapa final'!#REF!="Menor"),CONCATENATE("R8C",'Mapa final'!#REF!),"")</f>
        <v>#REF!</v>
      </c>
      <c r="U13" s="38" t="e">
        <f>IF(AND('Mapa final'!#REF!="Muy Alta",'Mapa final'!#REF!="Menor"),CONCATENATE("R8C",'Mapa final'!#REF!),"")</f>
        <v>#REF!</v>
      </c>
      <c r="V13" s="36" t="str">
        <f ca="1">IF(AND('Mapa final'!$AY$23="Muy Alta",'Mapa final'!$BA$23="Moderado"),CONCATENATE("R8C",'Mapa final'!$AL$23),"")</f>
        <v/>
      </c>
      <c r="W13" s="37" t="e">
        <f>IF(AND('Mapa final'!#REF!="Muy Alta",'Mapa final'!#REF!="Moderado"),CONCATENATE("R8C",'Mapa final'!#REF!),"")</f>
        <v>#REF!</v>
      </c>
      <c r="X13" s="37" t="e">
        <f>IF(AND('Mapa final'!#REF!="Muy Alta",'Mapa final'!#REF!="Moderado"),CONCATENATE("R8C",'Mapa final'!#REF!),"")</f>
        <v>#REF!</v>
      </c>
      <c r="Y13" s="37" t="e">
        <f>IF(AND('Mapa final'!#REF!="Muy Alta",'Mapa final'!#REF!="Moderado"),CONCATENATE("R8C",'Mapa final'!#REF!),"")</f>
        <v>#REF!</v>
      </c>
      <c r="Z13" s="37" t="e">
        <f>IF(AND('Mapa final'!#REF!="Muy Alta",'Mapa final'!#REF!="Moderado"),CONCATENATE("R8C",'Mapa final'!#REF!),"")</f>
        <v>#REF!</v>
      </c>
      <c r="AA13" s="38" t="e">
        <f>IF(AND('Mapa final'!#REF!="Muy Alta",'Mapa final'!#REF!="Moderado"),CONCATENATE("R8C",'Mapa final'!#REF!),"")</f>
        <v>#REF!</v>
      </c>
      <c r="AB13" s="36" t="str">
        <f ca="1">IF(AND('Mapa final'!$AY$23="Muy Alta",'Mapa final'!$BA$23="Mayor"),CONCATENATE("R8C",'Mapa final'!$AL$23),"")</f>
        <v/>
      </c>
      <c r="AC13" s="37" t="e">
        <f>IF(AND('Mapa final'!#REF!="Muy Alta",'Mapa final'!#REF!="Mayor"),CONCATENATE("R8C",'Mapa final'!#REF!),"")</f>
        <v>#REF!</v>
      </c>
      <c r="AD13" s="37" t="e">
        <f>IF(AND('Mapa final'!#REF!="Muy Alta",'Mapa final'!#REF!="Mayor"),CONCATENATE("R8C",'Mapa final'!#REF!),"")</f>
        <v>#REF!</v>
      </c>
      <c r="AE13" s="37" t="e">
        <f>IF(AND('Mapa final'!#REF!="Muy Alta",'Mapa final'!#REF!="Mayor"),CONCATENATE("R8C",'Mapa final'!#REF!),"")</f>
        <v>#REF!</v>
      </c>
      <c r="AF13" s="37" t="e">
        <f>IF(AND('Mapa final'!#REF!="Muy Alta",'Mapa final'!#REF!="Mayor"),CONCATENATE("R8C",'Mapa final'!#REF!),"")</f>
        <v>#REF!</v>
      </c>
      <c r="AG13" s="38" t="e">
        <f>IF(AND('Mapa final'!#REF!="Muy Alta",'Mapa final'!#REF!="Mayor"),CONCATENATE("R8C",'Mapa final'!#REF!),"")</f>
        <v>#REF!</v>
      </c>
      <c r="AH13" s="39" t="str">
        <f ca="1">IF(AND('Mapa final'!$AY$23="Muy Alta",'Mapa final'!$BA$23="Catastrófico"),CONCATENATE("R8C",'Mapa final'!$AL$23),"")</f>
        <v/>
      </c>
      <c r="AI13" s="40" t="e">
        <f>IF(AND('Mapa final'!#REF!="Muy Alta",'Mapa final'!#REF!="Catastrófico"),CONCATENATE("R8C",'Mapa final'!#REF!),"")</f>
        <v>#REF!</v>
      </c>
      <c r="AJ13" s="40" t="e">
        <f>IF(AND('Mapa final'!#REF!="Muy Alta",'Mapa final'!#REF!="Catastrófico"),CONCATENATE("R8C",'Mapa final'!#REF!),"")</f>
        <v>#REF!</v>
      </c>
      <c r="AK13" s="40" t="e">
        <f>IF(AND('Mapa final'!#REF!="Muy Alta",'Mapa final'!#REF!="Catastrófico"),CONCATENATE("R8C",'Mapa final'!#REF!),"")</f>
        <v>#REF!</v>
      </c>
      <c r="AL13" s="40" t="e">
        <f>IF(AND('Mapa final'!#REF!="Muy Alta",'Mapa final'!#REF!="Catastrófico"),CONCATENATE("R8C",'Mapa final'!#REF!),"")</f>
        <v>#REF!</v>
      </c>
      <c r="AM13" s="41" t="e">
        <f>IF(AND('Mapa final'!#REF!="Muy Alta",'Mapa final'!#REF!="Catastrófico"),CONCATENATE("R8C",'Mapa final'!#REF!),"")</f>
        <v>#REF!</v>
      </c>
      <c r="AN13" s="1"/>
      <c r="AO13" s="267"/>
      <c r="AP13" s="170"/>
      <c r="AQ13" s="170"/>
      <c r="AR13" s="170"/>
      <c r="AS13" s="170"/>
      <c r="AT13" s="268"/>
      <c r="AU13" s="1"/>
      <c r="AV13" s="1"/>
      <c r="AW13" s="1"/>
      <c r="AX13" s="1"/>
      <c r="AY13" s="1"/>
      <c r="AZ13" s="1"/>
      <c r="BA13" s="1"/>
      <c r="BB13" s="1"/>
      <c r="BC13" s="1"/>
      <c r="BD13" s="1"/>
      <c r="BE13" s="1"/>
      <c r="BF13" s="1"/>
      <c r="BG13" s="1"/>
      <c r="BH13" s="1"/>
      <c r="BI13" s="1"/>
    </row>
    <row r="14" spans="1:61" ht="15" customHeight="1" x14ac:dyDescent="0.25">
      <c r="A14" s="1"/>
      <c r="B14" s="258"/>
      <c r="C14" s="170"/>
      <c r="D14" s="171"/>
      <c r="E14" s="182"/>
      <c r="F14" s="170"/>
      <c r="G14" s="170"/>
      <c r="H14" s="170"/>
      <c r="I14" s="171"/>
      <c r="J14" s="36" t="str">
        <f ca="1">IF(AND('Mapa final'!$AY$24="Muy Alta",'Mapa final'!$BA$24="Leve"),CONCATENATE("R9C",'Mapa final'!$AL$24),"")</f>
        <v/>
      </c>
      <c r="K14" s="37" t="e">
        <f>IF(AND('Mapa final'!#REF!="Muy Alta",'Mapa final'!#REF!="Leve"),CONCATENATE("R9C",'Mapa final'!#REF!),"")</f>
        <v>#REF!</v>
      </c>
      <c r="L14" s="37" t="e">
        <f>IF(AND('Mapa final'!#REF!="Muy Alta",'Mapa final'!#REF!="Leve"),CONCATENATE("R9C",'Mapa final'!#REF!),"")</f>
        <v>#REF!</v>
      </c>
      <c r="M14" s="37" t="e">
        <f>IF(AND('Mapa final'!#REF!="Muy Alta",'Mapa final'!#REF!="Leve"),CONCATENATE("R9C",'Mapa final'!#REF!),"")</f>
        <v>#REF!</v>
      </c>
      <c r="N14" s="37" t="e">
        <f>IF(AND('Mapa final'!#REF!="Muy Alta",'Mapa final'!#REF!="Leve"),CONCATENATE("R9C",'Mapa final'!#REF!),"")</f>
        <v>#REF!</v>
      </c>
      <c r="O14" s="38" t="e">
        <f>IF(AND('Mapa final'!#REF!="Muy Alta",'Mapa final'!#REF!="Leve"),CONCATENATE("R9C",'Mapa final'!#REF!),"")</f>
        <v>#REF!</v>
      </c>
      <c r="P14" s="36" t="str">
        <f ca="1">IF(AND('Mapa final'!$AY$24="Muy Alta",'Mapa final'!$BA$24="Menor"),CONCATENATE("R9C",'Mapa final'!$AL$24),"")</f>
        <v/>
      </c>
      <c r="Q14" s="37" t="e">
        <f>IF(AND('Mapa final'!#REF!="Muy Alta",'Mapa final'!#REF!="Menor"),CONCATENATE("R9C",'Mapa final'!#REF!),"")</f>
        <v>#REF!</v>
      </c>
      <c r="R14" s="37" t="e">
        <f>IF(AND('Mapa final'!#REF!="Muy Alta",'Mapa final'!#REF!="Menor"),CONCATENATE("R9C",'Mapa final'!#REF!),"")</f>
        <v>#REF!</v>
      </c>
      <c r="S14" s="37" t="e">
        <f>IF(AND('Mapa final'!#REF!="Muy Alta",'Mapa final'!#REF!="Menor"),CONCATENATE("R9C",'Mapa final'!#REF!),"")</f>
        <v>#REF!</v>
      </c>
      <c r="T14" s="37" t="e">
        <f>IF(AND('Mapa final'!#REF!="Muy Alta",'Mapa final'!#REF!="Menor"),CONCATENATE("R9C",'Mapa final'!#REF!),"")</f>
        <v>#REF!</v>
      </c>
      <c r="U14" s="38" t="e">
        <f>IF(AND('Mapa final'!#REF!="Muy Alta",'Mapa final'!#REF!="Menor"),CONCATENATE("R9C",'Mapa final'!#REF!),"")</f>
        <v>#REF!</v>
      </c>
      <c r="V14" s="36" t="str">
        <f ca="1">IF(AND('Mapa final'!$AY$24="Muy Alta",'Mapa final'!$BA$24="Moderado"),CONCATENATE("R9C",'Mapa final'!$AL$24),"")</f>
        <v/>
      </c>
      <c r="W14" s="37" t="e">
        <f>IF(AND('Mapa final'!#REF!="Muy Alta",'Mapa final'!#REF!="Moderado"),CONCATENATE("R9C",'Mapa final'!#REF!),"")</f>
        <v>#REF!</v>
      </c>
      <c r="X14" s="37" t="e">
        <f>IF(AND('Mapa final'!#REF!="Muy Alta",'Mapa final'!#REF!="Moderado"),CONCATENATE("R9C",'Mapa final'!#REF!),"")</f>
        <v>#REF!</v>
      </c>
      <c r="Y14" s="37" t="e">
        <f>IF(AND('Mapa final'!#REF!="Muy Alta",'Mapa final'!#REF!="Moderado"),CONCATENATE("R9C",'Mapa final'!#REF!),"")</f>
        <v>#REF!</v>
      </c>
      <c r="Z14" s="37" t="e">
        <f>IF(AND('Mapa final'!#REF!="Muy Alta",'Mapa final'!#REF!="Moderado"),CONCATENATE("R9C",'Mapa final'!#REF!),"")</f>
        <v>#REF!</v>
      </c>
      <c r="AA14" s="38" t="e">
        <f>IF(AND('Mapa final'!#REF!="Muy Alta",'Mapa final'!#REF!="Moderado"),CONCATENATE("R9C",'Mapa final'!#REF!),"")</f>
        <v>#REF!</v>
      </c>
      <c r="AB14" s="36" t="str">
        <f ca="1">IF(AND('Mapa final'!$AY$24="Muy Alta",'Mapa final'!$BA$24="Mayor"),CONCATENATE("R9C",'Mapa final'!$AL$24),"")</f>
        <v/>
      </c>
      <c r="AC14" s="37" t="e">
        <f>IF(AND('Mapa final'!#REF!="Muy Alta",'Mapa final'!#REF!="Mayor"),CONCATENATE("R9C",'Mapa final'!#REF!),"")</f>
        <v>#REF!</v>
      </c>
      <c r="AD14" s="37" t="e">
        <f>IF(AND('Mapa final'!#REF!="Muy Alta",'Mapa final'!#REF!="Mayor"),CONCATENATE("R9C",'Mapa final'!#REF!),"")</f>
        <v>#REF!</v>
      </c>
      <c r="AE14" s="37" t="e">
        <f>IF(AND('Mapa final'!#REF!="Muy Alta",'Mapa final'!#REF!="Mayor"),CONCATENATE("R9C",'Mapa final'!#REF!),"")</f>
        <v>#REF!</v>
      </c>
      <c r="AF14" s="37" t="e">
        <f>IF(AND('Mapa final'!#REF!="Muy Alta",'Mapa final'!#REF!="Mayor"),CONCATENATE("R9C",'Mapa final'!#REF!),"")</f>
        <v>#REF!</v>
      </c>
      <c r="AG14" s="38" t="e">
        <f>IF(AND('Mapa final'!#REF!="Muy Alta",'Mapa final'!#REF!="Mayor"),CONCATENATE("R9C",'Mapa final'!#REF!),"")</f>
        <v>#REF!</v>
      </c>
      <c r="AH14" s="39" t="str">
        <f ca="1">IF(AND('Mapa final'!$AY$24="Muy Alta",'Mapa final'!$BA$24="Catastrófico"),CONCATENATE("R9C",'Mapa final'!$AL$24),"")</f>
        <v/>
      </c>
      <c r="AI14" s="40" t="e">
        <f>IF(AND('Mapa final'!#REF!="Muy Alta",'Mapa final'!#REF!="Catastrófico"),CONCATENATE("R9C",'Mapa final'!#REF!),"")</f>
        <v>#REF!</v>
      </c>
      <c r="AJ14" s="40" t="e">
        <f>IF(AND('Mapa final'!#REF!="Muy Alta",'Mapa final'!#REF!="Catastrófico"),CONCATENATE("R9C",'Mapa final'!#REF!),"")</f>
        <v>#REF!</v>
      </c>
      <c r="AK14" s="40" t="e">
        <f>IF(AND('Mapa final'!#REF!="Muy Alta",'Mapa final'!#REF!="Catastrófico"),CONCATENATE("R9C",'Mapa final'!#REF!),"")</f>
        <v>#REF!</v>
      </c>
      <c r="AL14" s="40" t="e">
        <f>IF(AND('Mapa final'!#REF!="Muy Alta",'Mapa final'!#REF!="Catastrófico"),CONCATENATE("R9C",'Mapa final'!#REF!),"")</f>
        <v>#REF!</v>
      </c>
      <c r="AM14" s="41" t="e">
        <f>IF(AND('Mapa final'!#REF!="Muy Alta",'Mapa final'!#REF!="Catastrófico"),CONCATENATE("R9C",'Mapa final'!#REF!),"")</f>
        <v>#REF!</v>
      </c>
      <c r="AN14" s="1"/>
      <c r="AO14" s="267"/>
      <c r="AP14" s="170"/>
      <c r="AQ14" s="170"/>
      <c r="AR14" s="170"/>
      <c r="AS14" s="170"/>
      <c r="AT14" s="268"/>
      <c r="AU14" s="1"/>
      <c r="AV14" s="1"/>
      <c r="AW14" s="1"/>
      <c r="AX14" s="1"/>
      <c r="AY14" s="1"/>
      <c r="AZ14" s="1"/>
      <c r="BA14" s="1"/>
      <c r="BB14" s="1"/>
      <c r="BC14" s="1"/>
      <c r="BD14" s="1"/>
      <c r="BE14" s="1"/>
      <c r="BF14" s="1"/>
      <c r="BG14" s="1"/>
      <c r="BH14" s="1"/>
      <c r="BI14" s="1"/>
    </row>
    <row r="15" spans="1:61" ht="15.75" customHeight="1" x14ac:dyDescent="0.25">
      <c r="A15" s="1"/>
      <c r="B15" s="258"/>
      <c r="C15" s="170"/>
      <c r="D15" s="171"/>
      <c r="E15" s="248"/>
      <c r="F15" s="249"/>
      <c r="G15" s="249"/>
      <c r="H15" s="249"/>
      <c r="I15" s="252"/>
      <c r="J15" s="42" t="str">
        <f ca="1">IF(AND('Mapa final'!$AY$25="Muy Alta",'Mapa final'!$BA$25="Leve"),CONCATENATE("R10C",'Mapa final'!$AL$25),"")</f>
        <v/>
      </c>
      <c r="K15" s="43" t="str">
        <f ca="1">IF(AND('Mapa final'!$AY$26="Muy Alta",'Mapa final'!$BA$26="Leve"),CONCATENATE("R10C",'Mapa final'!$AL$26),"")</f>
        <v/>
      </c>
      <c r="L15" s="43" t="e">
        <f>IF(AND('Mapa final'!#REF!="Muy Alta",'Mapa final'!#REF!="Leve"),CONCATENATE("R10C",'Mapa final'!#REF!),"")</f>
        <v>#REF!</v>
      </c>
      <c r="M15" s="43" t="e">
        <f>IF(AND('Mapa final'!#REF!="Muy Alta",'Mapa final'!#REF!="Leve"),CONCATENATE("R10C",'Mapa final'!#REF!),"")</f>
        <v>#REF!</v>
      </c>
      <c r="N15" s="43" t="e">
        <f>IF(AND('Mapa final'!#REF!="Muy Alta",'Mapa final'!#REF!="Leve"),CONCATENATE("R10C",'Mapa final'!#REF!),"")</f>
        <v>#REF!</v>
      </c>
      <c r="O15" s="44" t="e">
        <f>IF(AND('Mapa final'!#REF!="Muy Alta",'Mapa final'!#REF!="Leve"),CONCATENATE("R10C",'Mapa final'!#REF!),"")</f>
        <v>#REF!</v>
      </c>
      <c r="P15" s="36" t="str">
        <f ca="1">IF(AND('Mapa final'!$AY$25="Muy Alta",'Mapa final'!$BA$25="Menor"),CONCATENATE("R10C",'Mapa final'!$AL$25),"")</f>
        <v/>
      </c>
      <c r="Q15" s="37" t="str">
        <f ca="1">IF(AND('Mapa final'!$AY$26="Muy Alta",'Mapa final'!$BA$26="Menor"),CONCATENATE("R10C",'Mapa final'!$AL$26),"")</f>
        <v/>
      </c>
      <c r="R15" s="37" t="e">
        <f>IF(AND('Mapa final'!#REF!="Muy Alta",'Mapa final'!#REF!="Menor"),CONCATENATE("R10C",'Mapa final'!#REF!),"")</f>
        <v>#REF!</v>
      </c>
      <c r="S15" s="37" t="e">
        <f>IF(AND('Mapa final'!#REF!="Muy Alta",'Mapa final'!#REF!="Menor"),CONCATENATE("R10C",'Mapa final'!#REF!),"")</f>
        <v>#REF!</v>
      </c>
      <c r="T15" s="37" t="e">
        <f>IF(AND('Mapa final'!#REF!="Muy Alta",'Mapa final'!#REF!="Menor"),CONCATENATE("R10C",'Mapa final'!#REF!),"")</f>
        <v>#REF!</v>
      </c>
      <c r="U15" s="38" t="e">
        <f>IF(AND('Mapa final'!#REF!="Muy Alta",'Mapa final'!#REF!="Menor"),CONCATENATE("R10C",'Mapa final'!#REF!),"")</f>
        <v>#REF!</v>
      </c>
      <c r="V15" s="42" t="str">
        <f ca="1">IF(AND('Mapa final'!$AY$25="Muy Alta",'Mapa final'!$BA$25="Moderado"),CONCATENATE("R10C",'Mapa final'!$AL$25),"")</f>
        <v/>
      </c>
      <c r="W15" s="43" t="str">
        <f ca="1">IF(AND('Mapa final'!$AY$26="Muy Alta",'Mapa final'!$BA$26="Moderado"),CONCATENATE("R10C",'Mapa final'!$AL$26),"")</f>
        <v/>
      </c>
      <c r="X15" s="43" t="e">
        <f>IF(AND('Mapa final'!#REF!="Muy Alta",'Mapa final'!#REF!="Moderado"),CONCATENATE("R10C",'Mapa final'!#REF!),"")</f>
        <v>#REF!</v>
      </c>
      <c r="Y15" s="43" t="e">
        <f>IF(AND('Mapa final'!#REF!="Muy Alta",'Mapa final'!#REF!="Moderado"),CONCATENATE("R10C",'Mapa final'!#REF!),"")</f>
        <v>#REF!</v>
      </c>
      <c r="Z15" s="43" t="e">
        <f>IF(AND('Mapa final'!#REF!="Muy Alta",'Mapa final'!#REF!="Moderado"),CONCATENATE("R10C",'Mapa final'!#REF!),"")</f>
        <v>#REF!</v>
      </c>
      <c r="AA15" s="44" t="e">
        <f>IF(AND('Mapa final'!#REF!="Muy Alta",'Mapa final'!#REF!="Moderado"),CONCATENATE("R10C",'Mapa final'!#REF!),"")</f>
        <v>#REF!</v>
      </c>
      <c r="AB15" s="36" t="str">
        <f ca="1">IF(AND('Mapa final'!$AY$25="Muy Alta",'Mapa final'!$BA$25="Mayor"),CONCATENATE("R10C",'Mapa final'!$AL$25),"")</f>
        <v/>
      </c>
      <c r="AC15" s="37" t="str">
        <f ca="1">IF(AND('Mapa final'!$AY$26="Muy Alta",'Mapa final'!$BA$26="Mayor"),CONCATENATE("R10C",'Mapa final'!$AL$26),"")</f>
        <v/>
      </c>
      <c r="AD15" s="37" t="e">
        <f>IF(AND('Mapa final'!#REF!="Muy Alta",'Mapa final'!#REF!="Mayor"),CONCATENATE("R10C",'Mapa final'!#REF!),"")</f>
        <v>#REF!</v>
      </c>
      <c r="AE15" s="37" t="e">
        <f>IF(AND('Mapa final'!#REF!="Muy Alta",'Mapa final'!#REF!="Mayor"),CONCATENATE("R10C",'Mapa final'!#REF!),"")</f>
        <v>#REF!</v>
      </c>
      <c r="AF15" s="37" t="e">
        <f>IF(AND('Mapa final'!#REF!="Muy Alta",'Mapa final'!#REF!="Mayor"),CONCATENATE("R10C",'Mapa final'!#REF!),"")</f>
        <v>#REF!</v>
      </c>
      <c r="AG15" s="38" t="e">
        <f>IF(AND('Mapa final'!#REF!="Muy Alta",'Mapa final'!#REF!="Mayor"),CONCATENATE("R10C",'Mapa final'!#REF!),"")</f>
        <v>#REF!</v>
      </c>
      <c r="AH15" s="45" t="str">
        <f ca="1">IF(AND('Mapa final'!$AY$25="Muy Alta",'Mapa final'!$BA$25="Catastrófico"),CONCATENATE("R10C",'Mapa final'!$AL$25),"")</f>
        <v/>
      </c>
      <c r="AI15" s="46" t="str">
        <f ca="1">IF(AND('Mapa final'!$AY$26="Muy Alta",'Mapa final'!$BA$26="Catastrófico"),CONCATENATE("R10C",'Mapa final'!$AL$26),"")</f>
        <v/>
      </c>
      <c r="AJ15" s="46" t="e">
        <f>IF(AND('Mapa final'!#REF!="Muy Alta",'Mapa final'!#REF!="Catastrófico"),CONCATENATE("R10C",'Mapa final'!#REF!),"")</f>
        <v>#REF!</v>
      </c>
      <c r="AK15" s="46" t="e">
        <f>IF(AND('Mapa final'!#REF!="Muy Alta",'Mapa final'!#REF!="Catastrófico"),CONCATENATE("R10C",'Mapa final'!#REF!),"")</f>
        <v>#REF!</v>
      </c>
      <c r="AL15" s="46" t="e">
        <f>IF(AND('Mapa final'!#REF!="Muy Alta",'Mapa final'!#REF!="Catastrófico"),CONCATENATE("R10C",'Mapa final'!#REF!),"")</f>
        <v>#REF!</v>
      </c>
      <c r="AM15" s="47" t="e">
        <f>IF(AND('Mapa final'!#REF!="Muy Alta",'Mapa final'!#REF!="Catastrófico"),CONCATENATE("R10C",'Mapa final'!#REF!),"")</f>
        <v>#REF!</v>
      </c>
      <c r="AN15" s="1"/>
      <c r="AO15" s="269"/>
      <c r="AP15" s="270"/>
      <c r="AQ15" s="270"/>
      <c r="AR15" s="270"/>
      <c r="AS15" s="270"/>
      <c r="AT15" s="271"/>
      <c r="AU15" s="1"/>
      <c r="AV15" s="1"/>
      <c r="AW15" s="1"/>
      <c r="AX15" s="1"/>
      <c r="AY15" s="1"/>
      <c r="AZ15" s="1"/>
      <c r="BA15" s="1"/>
      <c r="BB15" s="1"/>
      <c r="BC15" s="1"/>
      <c r="BD15" s="1"/>
      <c r="BE15" s="1"/>
      <c r="BF15" s="1"/>
      <c r="BG15" s="1"/>
      <c r="BH15" s="1"/>
      <c r="BI15" s="1"/>
    </row>
    <row r="16" spans="1:61" ht="15" customHeight="1" x14ac:dyDescent="0.25">
      <c r="A16" s="1"/>
      <c r="B16" s="258"/>
      <c r="C16" s="170"/>
      <c r="D16" s="171"/>
      <c r="E16" s="276" t="s">
        <v>95</v>
      </c>
      <c r="F16" s="247"/>
      <c r="G16" s="247"/>
      <c r="H16" s="247"/>
      <c r="I16" s="247"/>
      <c r="J16" s="48" t="str">
        <f ca="1">IF(AND('Mapa final'!$AY$10="Alta",'Mapa final'!$BA$10="Leve"),CONCATENATE("R1C",'Mapa final'!$AL$10),"")</f>
        <v/>
      </c>
      <c r="K16" s="49" t="str">
        <f ca="1">IF(AND('Mapa final'!$AY$11="Alta",'Mapa final'!$BA$11="Leve"),CONCATENATE("R1C",'Mapa final'!$AL$11),"")</f>
        <v/>
      </c>
      <c r="L16" s="49" t="e">
        <f>IF(AND('Mapa final'!#REF!="Alta",'Mapa final'!#REF!="Leve"),CONCATENATE("R1C",'Mapa final'!#REF!),"")</f>
        <v>#REF!</v>
      </c>
      <c r="M16" s="49" t="e">
        <f>IF(AND('Mapa final'!#REF!="Alta",'Mapa final'!#REF!="Leve"),CONCATENATE("R1C",'Mapa final'!#REF!),"")</f>
        <v>#REF!</v>
      </c>
      <c r="N16" s="49" t="e">
        <f>IF(AND('Mapa final'!#REF!="Alta",'Mapa final'!#REF!="Leve"),CONCATENATE("R1C",'Mapa final'!#REF!),"")</f>
        <v>#REF!</v>
      </c>
      <c r="O16" s="50" t="e">
        <f>IF(AND('Mapa final'!#REF!="Alta",'Mapa final'!#REF!="Leve"),CONCATENATE("R1C",'Mapa final'!#REF!),"")</f>
        <v>#REF!</v>
      </c>
      <c r="P16" s="48" t="str">
        <f ca="1">IF(AND('Mapa final'!$AY$10="Alta",'Mapa final'!$BA$10="Menor"),CONCATENATE("R1C",'Mapa final'!$AL$10),"")</f>
        <v/>
      </c>
      <c r="Q16" s="49" t="str">
        <f ca="1">IF(AND('Mapa final'!$AY$11="Alta",'Mapa final'!$BA$11="Menor"),CONCATENATE("R1C",'Mapa final'!$AL$11),"")</f>
        <v/>
      </c>
      <c r="R16" s="49" t="e">
        <f>IF(AND('Mapa final'!#REF!="Alta",'Mapa final'!#REF!="Menor"),CONCATENATE("R1C",'Mapa final'!#REF!),"")</f>
        <v>#REF!</v>
      </c>
      <c r="S16" s="49" t="e">
        <f>IF(AND('Mapa final'!#REF!="Alta",'Mapa final'!#REF!="Menor"),CONCATENATE("R1C",'Mapa final'!#REF!),"")</f>
        <v>#REF!</v>
      </c>
      <c r="T16" s="49" t="e">
        <f>IF(AND('Mapa final'!#REF!="Alta",'Mapa final'!#REF!="Menor"),CONCATENATE("R1C",'Mapa final'!#REF!),"")</f>
        <v>#REF!</v>
      </c>
      <c r="U16" s="50" t="e">
        <f>IF(AND('Mapa final'!#REF!="Alta",'Mapa final'!#REF!="Menor"),CONCATENATE("R1C",'Mapa final'!#REF!),"")</f>
        <v>#REF!</v>
      </c>
      <c r="V16" s="30" t="str">
        <f ca="1">IF(AND('Mapa final'!$AY$10="Alta",'Mapa final'!$BA$10="Moderado"),CONCATENATE("R1C",'Mapa final'!$AL$10),"")</f>
        <v/>
      </c>
      <c r="W16" s="31" t="str">
        <f ca="1">IF(AND('Mapa final'!$AY$11="Alta",'Mapa final'!$BA$11="Moderado"),CONCATENATE("R1C",'Mapa final'!$AL$11),"")</f>
        <v/>
      </c>
      <c r="X16" s="31" t="e">
        <f>IF(AND('Mapa final'!#REF!="Alta",'Mapa final'!#REF!="Moderado"),CONCATENATE("R1C",'Mapa final'!#REF!),"")</f>
        <v>#REF!</v>
      </c>
      <c r="Y16" s="31" t="e">
        <f>IF(AND('Mapa final'!#REF!="Alta",'Mapa final'!#REF!="Moderado"),CONCATENATE("R1C",'Mapa final'!#REF!),"")</f>
        <v>#REF!</v>
      </c>
      <c r="Z16" s="31" t="e">
        <f>IF(AND('Mapa final'!#REF!="Alta",'Mapa final'!#REF!="Moderado"),CONCATENATE("R1C",'Mapa final'!#REF!),"")</f>
        <v>#REF!</v>
      </c>
      <c r="AA16" s="32" t="e">
        <f>IF(AND('Mapa final'!#REF!="Alta",'Mapa final'!#REF!="Moderado"),CONCATENATE("R1C",'Mapa final'!#REF!),"")</f>
        <v>#REF!</v>
      </c>
      <c r="AB16" s="30" t="str">
        <f ca="1">IF(AND('Mapa final'!$AY$10="Alta",'Mapa final'!$BA$10="Mayor"),CONCATENATE("R1C",'Mapa final'!$AL$10),"")</f>
        <v/>
      </c>
      <c r="AC16" s="31" t="str">
        <f ca="1">IF(AND('Mapa final'!$AY$11="Alta",'Mapa final'!$BA$11="Mayor"),CONCATENATE("R1C",'Mapa final'!$AL$11),"")</f>
        <v/>
      </c>
      <c r="AD16" s="31" t="e">
        <f>IF(AND('Mapa final'!#REF!="Alta",'Mapa final'!#REF!="Mayor"),CONCATENATE("R1C",'Mapa final'!#REF!),"")</f>
        <v>#REF!</v>
      </c>
      <c r="AE16" s="31" t="e">
        <f>IF(AND('Mapa final'!#REF!="Alta",'Mapa final'!#REF!="Mayor"),CONCATENATE("R1C",'Mapa final'!#REF!),"")</f>
        <v>#REF!</v>
      </c>
      <c r="AF16" s="31" t="e">
        <f>IF(AND('Mapa final'!#REF!="Alta",'Mapa final'!#REF!="Mayor"),CONCATENATE("R1C",'Mapa final'!#REF!),"")</f>
        <v>#REF!</v>
      </c>
      <c r="AG16" s="32" t="e">
        <f>IF(AND('Mapa final'!#REF!="Alta",'Mapa final'!#REF!="Mayor"),CONCATENATE("R1C",'Mapa final'!#REF!),"")</f>
        <v>#REF!</v>
      </c>
      <c r="AH16" s="33" t="str">
        <f ca="1">IF(AND('Mapa final'!$AY$10="Alta",'Mapa final'!$BA$10="Catastrófico"),CONCATENATE("R1C",'Mapa final'!$AL$10),"")</f>
        <v/>
      </c>
      <c r="AI16" s="34" t="str">
        <f ca="1">IF(AND('Mapa final'!$AY$11="Alta",'Mapa final'!$BA$11="Catastrófico"),CONCATENATE("R1C",'Mapa final'!$AL$11),"")</f>
        <v/>
      </c>
      <c r="AJ16" s="34" t="e">
        <f>IF(AND('Mapa final'!#REF!="Alta",'Mapa final'!#REF!="Catastrófico"),CONCATENATE("R1C",'Mapa final'!#REF!),"")</f>
        <v>#REF!</v>
      </c>
      <c r="AK16" s="34" t="e">
        <f>IF(AND('Mapa final'!#REF!="Alta",'Mapa final'!#REF!="Catastrófico"),CONCATENATE("R1C",'Mapa final'!#REF!),"")</f>
        <v>#REF!</v>
      </c>
      <c r="AL16" s="34" t="e">
        <f>IF(AND('Mapa final'!#REF!="Alta",'Mapa final'!#REF!="Catastrófico"),CONCATENATE("R1C",'Mapa final'!#REF!),"")</f>
        <v>#REF!</v>
      </c>
      <c r="AM16" s="35" t="e">
        <f>IF(AND('Mapa final'!#REF!="Alta",'Mapa final'!#REF!="Catastrófico"),CONCATENATE("R1C",'Mapa final'!#REF!),"")</f>
        <v>#REF!</v>
      </c>
      <c r="AN16" s="1"/>
      <c r="AO16" s="277" t="s">
        <v>96</v>
      </c>
      <c r="AP16" s="265"/>
      <c r="AQ16" s="265"/>
      <c r="AR16" s="265"/>
      <c r="AS16" s="265"/>
      <c r="AT16" s="266"/>
      <c r="AU16" s="1"/>
      <c r="AV16" s="1"/>
      <c r="AW16" s="1"/>
      <c r="AX16" s="1"/>
      <c r="AY16" s="1"/>
      <c r="AZ16" s="1"/>
      <c r="BA16" s="1"/>
      <c r="BB16" s="1"/>
      <c r="BC16" s="1"/>
      <c r="BD16" s="1"/>
      <c r="BE16" s="1"/>
      <c r="BF16" s="1"/>
      <c r="BG16" s="1"/>
      <c r="BH16" s="1"/>
      <c r="BI16" s="1"/>
    </row>
    <row r="17" spans="1:61" ht="15" customHeight="1" x14ac:dyDescent="0.25">
      <c r="A17" s="1"/>
      <c r="B17" s="258"/>
      <c r="C17" s="170"/>
      <c r="D17" s="171"/>
      <c r="E17" s="182"/>
      <c r="F17" s="170"/>
      <c r="G17" s="170"/>
      <c r="H17" s="170"/>
      <c r="I17" s="170"/>
      <c r="J17" s="51" t="str">
        <f ca="1">IF(AND('Mapa final'!$AY$12="Alta",'Mapa final'!$BA$12="Leve"),CONCATENATE("R2C",'Mapa final'!$AL$12),"")</f>
        <v/>
      </c>
      <c r="K17" s="52" t="str">
        <f ca="1">IF(AND('Mapa final'!$AY$13="Alta",'Mapa final'!$BA$13="Leve"),CONCATENATE("R2C",'Mapa final'!$AL$13),"")</f>
        <v/>
      </c>
      <c r="L17" s="52" t="e">
        <f>IF(AND('Mapa final'!#REF!="Alta",'Mapa final'!#REF!="Leve"),CONCATENATE("R2C",'Mapa final'!#REF!),"")</f>
        <v>#REF!</v>
      </c>
      <c r="M17" s="52" t="e">
        <f>IF(AND('Mapa final'!#REF!="Alta",'Mapa final'!#REF!="Leve"),CONCATENATE("R2C",'Mapa final'!#REF!),"")</f>
        <v>#REF!</v>
      </c>
      <c r="N17" s="52" t="e">
        <f>IF(AND('Mapa final'!#REF!="Alta",'Mapa final'!#REF!="Leve"),CONCATENATE("R2C",'Mapa final'!#REF!),"")</f>
        <v>#REF!</v>
      </c>
      <c r="O17" s="53" t="e">
        <f>IF(AND('Mapa final'!#REF!="Alta",'Mapa final'!#REF!="Leve"),CONCATENATE("R2C",'Mapa final'!#REF!),"")</f>
        <v>#REF!</v>
      </c>
      <c r="P17" s="51" t="str">
        <f ca="1">IF(AND('Mapa final'!$AY$12="Alta",'Mapa final'!$BA$12="Menor"),CONCATENATE("R2C",'Mapa final'!$AL$12),"")</f>
        <v/>
      </c>
      <c r="Q17" s="52" t="str">
        <f ca="1">IF(AND('Mapa final'!$AY$13="Alta",'Mapa final'!$BA$13="Menor"),CONCATENATE("R2C",'Mapa final'!$AL$13),"")</f>
        <v/>
      </c>
      <c r="R17" s="52" t="e">
        <f>IF(AND('Mapa final'!#REF!="Alta",'Mapa final'!#REF!="Menor"),CONCATENATE("R2C",'Mapa final'!#REF!),"")</f>
        <v>#REF!</v>
      </c>
      <c r="S17" s="52" t="e">
        <f>IF(AND('Mapa final'!#REF!="Alta",'Mapa final'!#REF!="Menor"),CONCATENATE("R2C",'Mapa final'!#REF!),"")</f>
        <v>#REF!</v>
      </c>
      <c r="T17" s="52" t="e">
        <f>IF(AND('Mapa final'!#REF!="Alta",'Mapa final'!#REF!="Menor"),CONCATENATE("R2C",'Mapa final'!#REF!),"")</f>
        <v>#REF!</v>
      </c>
      <c r="U17" s="53" t="e">
        <f>IF(AND('Mapa final'!#REF!="Alta",'Mapa final'!#REF!="Menor"),CONCATENATE("R2C",'Mapa final'!#REF!),"")</f>
        <v>#REF!</v>
      </c>
      <c r="V17" s="36" t="str">
        <f ca="1">IF(AND('Mapa final'!$AY$12="Alta",'Mapa final'!$BA$12="Moderado"),CONCATENATE("R2C",'Mapa final'!$AL$12),"")</f>
        <v/>
      </c>
      <c r="W17" s="37" t="str">
        <f ca="1">IF(AND('Mapa final'!$AY$13="Alta",'Mapa final'!$BA$13="Moderado"),CONCATENATE("R2C",'Mapa final'!$AL$13),"")</f>
        <v/>
      </c>
      <c r="X17" s="37" t="e">
        <f>IF(AND('Mapa final'!#REF!="Alta",'Mapa final'!#REF!="Moderado"),CONCATENATE("R2C",'Mapa final'!#REF!),"")</f>
        <v>#REF!</v>
      </c>
      <c r="Y17" s="37" t="e">
        <f>IF(AND('Mapa final'!#REF!="Alta",'Mapa final'!#REF!="Moderado"),CONCATENATE("R2C",'Mapa final'!#REF!),"")</f>
        <v>#REF!</v>
      </c>
      <c r="Z17" s="37" t="e">
        <f>IF(AND('Mapa final'!#REF!="Alta",'Mapa final'!#REF!="Moderado"),CONCATENATE("R2C",'Mapa final'!#REF!),"")</f>
        <v>#REF!</v>
      </c>
      <c r="AA17" s="38" t="e">
        <f>IF(AND('Mapa final'!#REF!="Alta",'Mapa final'!#REF!="Moderado"),CONCATENATE("R2C",'Mapa final'!#REF!),"")</f>
        <v>#REF!</v>
      </c>
      <c r="AB17" s="36" t="str">
        <f ca="1">IF(AND('Mapa final'!$AY$12="Alta",'Mapa final'!$BA$12="Mayor"),CONCATENATE("R2C",'Mapa final'!$AL$12),"")</f>
        <v/>
      </c>
      <c r="AC17" s="37" t="str">
        <f ca="1">IF(AND('Mapa final'!$AY$13="Alta",'Mapa final'!$BA$13="Mayor"),CONCATENATE("R2C",'Mapa final'!$AL$13),"")</f>
        <v/>
      </c>
      <c r="AD17" s="37" t="e">
        <f>IF(AND('Mapa final'!#REF!="Alta",'Mapa final'!#REF!="Mayor"),CONCATENATE("R2C",'Mapa final'!#REF!),"")</f>
        <v>#REF!</v>
      </c>
      <c r="AE17" s="37" t="e">
        <f>IF(AND('Mapa final'!#REF!="Alta",'Mapa final'!#REF!="Mayor"),CONCATENATE("R2C",'Mapa final'!#REF!),"")</f>
        <v>#REF!</v>
      </c>
      <c r="AF17" s="37" t="e">
        <f>IF(AND('Mapa final'!#REF!="Alta",'Mapa final'!#REF!="Mayor"),CONCATENATE("R2C",'Mapa final'!#REF!),"")</f>
        <v>#REF!</v>
      </c>
      <c r="AG17" s="38" t="e">
        <f>IF(AND('Mapa final'!#REF!="Alta",'Mapa final'!#REF!="Mayor"),CONCATENATE("R2C",'Mapa final'!#REF!),"")</f>
        <v>#REF!</v>
      </c>
      <c r="AH17" s="39" t="str">
        <f ca="1">IF(AND('Mapa final'!$AY$12="Alta",'Mapa final'!$BA$12="Catastrófico"),CONCATENATE("R2C",'Mapa final'!$AL$12),"")</f>
        <v/>
      </c>
      <c r="AI17" s="40" t="str">
        <f ca="1">IF(AND('Mapa final'!$AY$13="Alta",'Mapa final'!$BA$13="Catastrófico"),CONCATENATE("R2C",'Mapa final'!$AL$13),"")</f>
        <v/>
      </c>
      <c r="AJ17" s="40" t="e">
        <f>IF(AND('Mapa final'!#REF!="Alta",'Mapa final'!#REF!="Catastrófico"),CONCATENATE("R2C",'Mapa final'!#REF!),"")</f>
        <v>#REF!</v>
      </c>
      <c r="AK17" s="40" t="e">
        <f>IF(AND('Mapa final'!#REF!="Alta",'Mapa final'!#REF!="Catastrófico"),CONCATENATE("R2C",'Mapa final'!#REF!),"")</f>
        <v>#REF!</v>
      </c>
      <c r="AL17" s="40" t="e">
        <f>IF(AND('Mapa final'!#REF!="Alta",'Mapa final'!#REF!="Catastrófico"),CONCATENATE("R2C",'Mapa final'!#REF!),"")</f>
        <v>#REF!</v>
      </c>
      <c r="AM17" s="41" t="e">
        <f>IF(AND('Mapa final'!#REF!="Alta",'Mapa final'!#REF!="Catastrófico"),CONCATENATE("R2C",'Mapa final'!#REF!),"")</f>
        <v>#REF!</v>
      </c>
      <c r="AN17" s="1"/>
      <c r="AO17" s="267"/>
      <c r="AP17" s="170"/>
      <c r="AQ17" s="170"/>
      <c r="AR17" s="170"/>
      <c r="AS17" s="170"/>
      <c r="AT17" s="268"/>
      <c r="AU17" s="1"/>
      <c r="AV17" s="1"/>
      <c r="AW17" s="1"/>
      <c r="AX17" s="1"/>
      <c r="AY17" s="1"/>
      <c r="AZ17" s="1"/>
      <c r="BA17" s="1"/>
      <c r="BB17" s="1"/>
      <c r="BC17" s="1"/>
      <c r="BD17" s="1"/>
      <c r="BE17" s="1"/>
      <c r="BF17" s="1"/>
      <c r="BG17" s="1"/>
      <c r="BH17" s="1"/>
      <c r="BI17" s="1"/>
    </row>
    <row r="18" spans="1:61" ht="15" customHeight="1" x14ac:dyDescent="0.25">
      <c r="A18" s="1"/>
      <c r="B18" s="258"/>
      <c r="C18" s="170"/>
      <c r="D18" s="171"/>
      <c r="E18" s="182"/>
      <c r="F18" s="170"/>
      <c r="G18" s="170"/>
      <c r="H18" s="170"/>
      <c r="I18" s="170"/>
      <c r="J18" s="51" t="str">
        <f ca="1">IF(AND('Mapa final'!$AY$14="Alta",'Mapa final'!$BA$14="Leve"),CONCATENATE("R3C",'Mapa final'!$AL$14),"")</f>
        <v/>
      </c>
      <c r="K18" s="52" t="e">
        <f>IF(AND('Mapa final'!#REF!="Alta",'Mapa final'!#REF!="Leve"),CONCATENATE("R3C",'Mapa final'!#REF!),"")</f>
        <v>#REF!</v>
      </c>
      <c r="L18" s="52" t="e">
        <f>IF(AND('Mapa final'!#REF!="Alta",'Mapa final'!#REF!="Leve"),CONCATENATE("R3C",'Mapa final'!#REF!),"")</f>
        <v>#REF!</v>
      </c>
      <c r="M18" s="52" t="e">
        <f>IF(AND('Mapa final'!#REF!="Alta",'Mapa final'!#REF!="Leve"),CONCATENATE("R3C",'Mapa final'!#REF!),"")</f>
        <v>#REF!</v>
      </c>
      <c r="N18" s="52" t="e">
        <f>IF(AND('Mapa final'!#REF!="Alta",'Mapa final'!#REF!="Leve"),CONCATENATE("R3C",'Mapa final'!#REF!),"")</f>
        <v>#REF!</v>
      </c>
      <c r="O18" s="53" t="e">
        <f>IF(AND('Mapa final'!#REF!="Alta",'Mapa final'!#REF!="Leve"),CONCATENATE("R3C",'Mapa final'!#REF!),"")</f>
        <v>#REF!</v>
      </c>
      <c r="P18" s="51" t="str">
        <f ca="1">IF(AND('Mapa final'!$AY$14="Alta",'Mapa final'!$BA$14="Menor"),CONCATENATE("R3C",'Mapa final'!$AL$14),"")</f>
        <v/>
      </c>
      <c r="Q18" s="52" t="e">
        <f>IF(AND('Mapa final'!#REF!="Alta",'Mapa final'!#REF!="Menor"),CONCATENATE("R3C",'Mapa final'!#REF!),"")</f>
        <v>#REF!</v>
      </c>
      <c r="R18" s="52" t="e">
        <f>IF(AND('Mapa final'!#REF!="Alta",'Mapa final'!#REF!="Menor"),CONCATENATE("R3C",'Mapa final'!#REF!),"")</f>
        <v>#REF!</v>
      </c>
      <c r="S18" s="52" t="e">
        <f>IF(AND('Mapa final'!#REF!="Alta",'Mapa final'!#REF!="Menor"),CONCATENATE("R3C",'Mapa final'!#REF!),"")</f>
        <v>#REF!</v>
      </c>
      <c r="T18" s="52" t="e">
        <f>IF(AND('Mapa final'!#REF!="Alta",'Mapa final'!#REF!="Menor"),CONCATENATE("R3C",'Mapa final'!#REF!),"")</f>
        <v>#REF!</v>
      </c>
      <c r="U18" s="53" t="e">
        <f>IF(AND('Mapa final'!#REF!="Alta",'Mapa final'!#REF!="Menor"),CONCATENATE("R3C",'Mapa final'!#REF!),"")</f>
        <v>#REF!</v>
      </c>
      <c r="V18" s="36" t="str">
        <f ca="1">IF(AND('Mapa final'!$AY$14="Alta",'Mapa final'!$BA$14="Moderado"),CONCATENATE("R3C",'Mapa final'!$AL$14),"")</f>
        <v/>
      </c>
      <c r="W18" s="37" t="e">
        <f>IF(AND('Mapa final'!#REF!="Alta",'Mapa final'!#REF!="Moderado"),CONCATENATE("R3C",'Mapa final'!#REF!),"")</f>
        <v>#REF!</v>
      </c>
      <c r="X18" s="37" t="e">
        <f>IF(AND('Mapa final'!#REF!="Alta",'Mapa final'!#REF!="Moderado"),CONCATENATE("R3C",'Mapa final'!#REF!),"")</f>
        <v>#REF!</v>
      </c>
      <c r="Y18" s="37" t="e">
        <f>IF(AND('Mapa final'!#REF!="Alta",'Mapa final'!#REF!="Moderado"),CONCATENATE("R3C",'Mapa final'!#REF!),"")</f>
        <v>#REF!</v>
      </c>
      <c r="Z18" s="37" t="e">
        <f>IF(AND('Mapa final'!#REF!="Alta",'Mapa final'!#REF!="Moderado"),CONCATENATE("R3C",'Mapa final'!#REF!),"")</f>
        <v>#REF!</v>
      </c>
      <c r="AA18" s="38" t="e">
        <f>IF(AND('Mapa final'!#REF!="Alta",'Mapa final'!#REF!="Moderado"),CONCATENATE("R3C",'Mapa final'!#REF!),"")</f>
        <v>#REF!</v>
      </c>
      <c r="AB18" s="36" t="str">
        <f ca="1">IF(AND('Mapa final'!$AY$14="Alta",'Mapa final'!$BA$14="Mayor"),CONCATENATE("R3C",'Mapa final'!$AL$14),"")</f>
        <v/>
      </c>
      <c r="AC18" s="37" t="e">
        <f>IF(AND('Mapa final'!#REF!="Alta",'Mapa final'!#REF!="Mayor"),CONCATENATE("R3C",'Mapa final'!#REF!),"")</f>
        <v>#REF!</v>
      </c>
      <c r="AD18" s="37" t="e">
        <f>IF(AND('Mapa final'!#REF!="Alta",'Mapa final'!#REF!="Mayor"),CONCATENATE("R3C",'Mapa final'!#REF!),"")</f>
        <v>#REF!</v>
      </c>
      <c r="AE18" s="37" t="e">
        <f>IF(AND('Mapa final'!#REF!="Alta",'Mapa final'!#REF!="Mayor"),CONCATENATE("R3C",'Mapa final'!#REF!),"")</f>
        <v>#REF!</v>
      </c>
      <c r="AF18" s="37" t="e">
        <f>IF(AND('Mapa final'!#REF!="Alta",'Mapa final'!#REF!="Mayor"),CONCATENATE("R3C",'Mapa final'!#REF!),"")</f>
        <v>#REF!</v>
      </c>
      <c r="AG18" s="38" t="e">
        <f>IF(AND('Mapa final'!#REF!="Alta",'Mapa final'!#REF!="Mayor"),CONCATENATE("R3C",'Mapa final'!#REF!),"")</f>
        <v>#REF!</v>
      </c>
      <c r="AH18" s="39" t="str">
        <f ca="1">IF(AND('Mapa final'!$AY$14="Alta",'Mapa final'!$BA$14="Catastrófico"),CONCATENATE("R3C",'Mapa final'!$AL$14),"")</f>
        <v/>
      </c>
      <c r="AI18" s="40" t="e">
        <f>IF(AND('Mapa final'!#REF!="Alta",'Mapa final'!#REF!="Catastrófico"),CONCATENATE("R3C",'Mapa final'!#REF!),"")</f>
        <v>#REF!</v>
      </c>
      <c r="AJ18" s="40" t="e">
        <f>IF(AND('Mapa final'!#REF!="Alta",'Mapa final'!#REF!="Catastrófico"),CONCATENATE("R3C",'Mapa final'!#REF!),"")</f>
        <v>#REF!</v>
      </c>
      <c r="AK18" s="40" t="e">
        <f>IF(AND('Mapa final'!#REF!="Alta",'Mapa final'!#REF!="Catastrófico"),CONCATENATE("R3C",'Mapa final'!#REF!),"")</f>
        <v>#REF!</v>
      </c>
      <c r="AL18" s="40" t="e">
        <f>IF(AND('Mapa final'!#REF!="Alta",'Mapa final'!#REF!="Catastrófico"),CONCATENATE("R3C",'Mapa final'!#REF!),"")</f>
        <v>#REF!</v>
      </c>
      <c r="AM18" s="41" t="e">
        <f>IF(AND('Mapa final'!#REF!="Alta",'Mapa final'!#REF!="Catastrófico"),CONCATENATE("R3C",'Mapa final'!#REF!),"")</f>
        <v>#REF!</v>
      </c>
      <c r="AN18" s="1"/>
      <c r="AO18" s="267"/>
      <c r="AP18" s="170"/>
      <c r="AQ18" s="170"/>
      <c r="AR18" s="170"/>
      <c r="AS18" s="170"/>
      <c r="AT18" s="268"/>
      <c r="AU18" s="1"/>
      <c r="AV18" s="1"/>
      <c r="AW18" s="1"/>
      <c r="AX18" s="1"/>
      <c r="AY18" s="1"/>
      <c r="AZ18" s="1"/>
      <c r="BA18" s="1"/>
      <c r="BB18" s="1"/>
      <c r="BC18" s="1"/>
      <c r="BD18" s="1"/>
      <c r="BE18" s="1"/>
      <c r="BF18" s="1"/>
      <c r="BG18" s="1"/>
      <c r="BH18" s="1"/>
      <c r="BI18" s="1"/>
    </row>
    <row r="19" spans="1:61" ht="15" customHeight="1" x14ac:dyDescent="0.25">
      <c r="A19" s="1"/>
      <c r="B19" s="258"/>
      <c r="C19" s="170"/>
      <c r="D19" s="171"/>
      <c r="E19" s="182"/>
      <c r="F19" s="170"/>
      <c r="G19" s="170"/>
      <c r="H19" s="170"/>
      <c r="I19" s="170"/>
      <c r="J19" s="51" t="str">
        <f ca="1">IF(AND('Mapa final'!$AY$15="Alta",'Mapa final'!$BA$15="Leve"),CONCATENATE("R4C",'Mapa final'!$AL$15),"")</f>
        <v/>
      </c>
      <c r="K19" s="52" t="str">
        <f>IF(AND('Mapa final'!$AY$16="Alta",'Mapa final'!$BA$16="Leve"),CONCATENATE("R4C",'Mapa final'!$AL$16),"")</f>
        <v/>
      </c>
      <c r="L19" s="52" t="str">
        <f>IF(AND('Mapa final'!$AY$17="Alta",'Mapa final'!$BA$17="Leve"),CONCATENATE("R4C",'Mapa final'!$AL$17),"")</f>
        <v/>
      </c>
      <c r="M19" s="52" t="e">
        <f>IF(AND('Mapa final'!#REF!="Alta",'Mapa final'!#REF!="Leve"),CONCATENATE("R4C",'Mapa final'!#REF!),"")</f>
        <v>#REF!</v>
      </c>
      <c r="N19" s="52" t="e">
        <f>IF(AND('Mapa final'!#REF!="Alta",'Mapa final'!#REF!="Leve"),CONCATENATE("R4C",'Mapa final'!#REF!),"")</f>
        <v>#REF!</v>
      </c>
      <c r="O19" s="53" t="e">
        <f>IF(AND('Mapa final'!#REF!="Alta",'Mapa final'!#REF!="Leve"),CONCATENATE("R4C",'Mapa final'!#REF!),"")</f>
        <v>#REF!</v>
      </c>
      <c r="P19" s="51" t="str">
        <f ca="1">IF(AND('Mapa final'!$AY$15="Alta",'Mapa final'!$BA$15="Menor"),CONCATENATE("R4C",'Mapa final'!$AL$15),"")</f>
        <v/>
      </c>
      <c r="Q19" s="52" t="str">
        <f>IF(AND('Mapa final'!$AY$16="Alta",'Mapa final'!$BA$16="Menor"),CONCATENATE("R4C",'Mapa final'!$AL$16),"")</f>
        <v/>
      </c>
      <c r="R19" s="52" t="str">
        <f>IF(AND('Mapa final'!$AY$17="Alta",'Mapa final'!$BA$17="Menor"),CONCATENATE("R4C",'Mapa final'!$AL$17),"")</f>
        <v/>
      </c>
      <c r="S19" s="52" t="e">
        <f>IF(AND('Mapa final'!#REF!="Alta",'Mapa final'!#REF!="Menor"),CONCATENATE("R4C",'Mapa final'!#REF!),"")</f>
        <v>#REF!</v>
      </c>
      <c r="T19" s="52" t="e">
        <f>IF(AND('Mapa final'!#REF!="Alta",'Mapa final'!#REF!="Menor"),CONCATENATE("R4C",'Mapa final'!#REF!),"")</f>
        <v>#REF!</v>
      </c>
      <c r="U19" s="53" t="e">
        <f>IF(AND('Mapa final'!#REF!="Alta",'Mapa final'!#REF!="Menor"),CONCATENATE("R4C",'Mapa final'!#REF!),"")</f>
        <v>#REF!</v>
      </c>
      <c r="V19" s="36" t="str">
        <f ca="1">IF(AND('Mapa final'!$AY$15="Alta",'Mapa final'!$BA$15="Moderado"),CONCATENATE("R4C",'Mapa final'!$AL$15),"")</f>
        <v/>
      </c>
      <c r="W19" s="37" t="str">
        <f>IF(AND('Mapa final'!$AY$16="Alta",'Mapa final'!$BA$16="Moderado"),CONCATENATE("R4C",'Mapa final'!$AL$16),"")</f>
        <v/>
      </c>
      <c r="X19" s="37" t="str">
        <f>IF(AND('Mapa final'!$AY$17="Alta",'Mapa final'!$BA$17="Moderado"),CONCATENATE("R4C",'Mapa final'!$AL$17),"")</f>
        <v/>
      </c>
      <c r="Y19" s="37" t="e">
        <f>IF(AND('Mapa final'!#REF!="Alta",'Mapa final'!#REF!="Moderado"),CONCATENATE("R4C",'Mapa final'!#REF!),"")</f>
        <v>#REF!</v>
      </c>
      <c r="Z19" s="37" t="e">
        <f>IF(AND('Mapa final'!#REF!="Alta",'Mapa final'!#REF!="Moderado"),CONCATENATE("R4C",'Mapa final'!#REF!),"")</f>
        <v>#REF!</v>
      </c>
      <c r="AA19" s="38" t="e">
        <f>IF(AND('Mapa final'!#REF!="Alta",'Mapa final'!#REF!="Moderado"),CONCATENATE("R4C",'Mapa final'!#REF!),"")</f>
        <v>#REF!</v>
      </c>
      <c r="AB19" s="36" t="str">
        <f ca="1">IF(AND('Mapa final'!$AY$15="Alta",'Mapa final'!$BA$15="Mayor"),CONCATENATE("R4C",'Mapa final'!$AL$15),"")</f>
        <v/>
      </c>
      <c r="AC19" s="37" t="str">
        <f>IF(AND('Mapa final'!$AY$16="Alta",'Mapa final'!$BA$16="Mayor"),CONCATENATE("R4C",'Mapa final'!$AL$16),"")</f>
        <v/>
      </c>
      <c r="AD19" s="37" t="str">
        <f>IF(AND('Mapa final'!$AY$17="Alta",'Mapa final'!$BA$17="Mayor"),CONCATENATE("R4C",'Mapa final'!$AL$17),"")</f>
        <v/>
      </c>
      <c r="AE19" s="37" t="e">
        <f>IF(AND('Mapa final'!#REF!="Alta",'Mapa final'!#REF!="Mayor"),CONCATENATE("R4C",'Mapa final'!#REF!),"")</f>
        <v>#REF!</v>
      </c>
      <c r="AF19" s="37" t="e">
        <f>IF(AND('Mapa final'!#REF!="Alta",'Mapa final'!#REF!="Mayor"),CONCATENATE("R4C",'Mapa final'!#REF!),"")</f>
        <v>#REF!</v>
      </c>
      <c r="AG19" s="38" t="e">
        <f>IF(AND('Mapa final'!#REF!="Alta",'Mapa final'!#REF!="Mayor"),CONCATENATE("R4C",'Mapa final'!#REF!),"")</f>
        <v>#REF!</v>
      </c>
      <c r="AH19" s="39" t="str">
        <f ca="1">IF(AND('Mapa final'!$AY$15="Alta",'Mapa final'!$BA$15="Catastrófico"),CONCATENATE("R4C",'Mapa final'!$AL$15),"")</f>
        <v/>
      </c>
      <c r="AI19" s="40" t="str">
        <f>IF(AND('Mapa final'!$AY$16="Alta",'Mapa final'!$BA$16="Catastrófico"),CONCATENATE("R4C",'Mapa final'!$AL$16),"")</f>
        <v/>
      </c>
      <c r="AJ19" s="40" t="str">
        <f>IF(AND('Mapa final'!$AY$17="Alta",'Mapa final'!$BA$17="Catastrófico"),CONCATENATE("R4C",'Mapa final'!$AL$17),"")</f>
        <v/>
      </c>
      <c r="AK19" s="40" t="e">
        <f>IF(AND('Mapa final'!#REF!="Alta",'Mapa final'!#REF!="Catastrófico"),CONCATENATE("R4C",'Mapa final'!#REF!),"")</f>
        <v>#REF!</v>
      </c>
      <c r="AL19" s="40" t="e">
        <f>IF(AND('Mapa final'!#REF!="Alta",'Mapa final'!#REF!="Catastrófico"),CONCATENATE("R4C",'Mapa final'!#REF!),"")</f>
        <v>#REF!</v>
      </c>
      <c r="AM19" s="41" t="e">
        <f>IF(AND('Mapa final'!#REF!="Alta",'Mapa final'!#REF!="Catastrófico"),CONCATENATE("R4C",'Mapa final'!#REF!),"")</f>
        <v>#REF!</v>
      </c>
      <c r="AN19" s="1"/>
      <c r="AO19" s="267"/>
      <c r="AP19" s="170"/>
      <c r="AQ19" s="170"/>
      <c r="AR19" s="170"/>
      <c r="AS19" s="170"/>
      <c r="AT19" s="268"/>
      <c r="AU19" s="1"/>
      <c r="AV19" s="1"/>
      <c r="AW19" s="1"/>
      <c r="AX19" s="1"/>
      <c r="AY19" s="1"/>
      <c r="AZ19" s="1"/>
      <c r="BA19" s="1"/>
      <c r="BB19" s="1"/>
      <c r="BC19" s="1"/>
      <c r="BD19" s="1"/>
      <c r="BE19" s="1"/>
      <c r="BF19" s="1"/>
      <c r="BG19" s="1"/>
      <c r="BH19" s="1"/>
      <c r="BI19" s="1"/>
    </row>
    <row r="20" spans="1:61" ht="15" customHeight="1" x14ac:dyDescent="0.25">
      <c r="A20" s="1"/>
      <c r="B20" s="258"/>
      <c r="C20" s="170"/>
      <c r="D20" s="171"/>
      <c r="E20" s="182"/>
      <c r="F20" s="170"/>
      <c r="G20" s="170"/>
      <c r="H20" s="170"/>
      <c r="I20" s="170"/>
      <c r="J20" s="51" t="str">
        <f ca="1">IF(AND('Mapa final'!$AY$18="Alta",'Mapa final'!$BA$18="Leve"),CONCATENATE("R5C",'Mapa final'!$AL$18),"")</f>
        <v/>
      </c>
      <c r="K20" s="52" t="e">
        <f>IF(AND('Mapa final'!#REF!="Alta",'Mapa final'!#REF!="Leve"),CONCATENATE("R5C",'Mapa final'!#REF!),"")</f>
        <v>#REF!</v>
      </c>
      <c r="L20" s="52" t="e">
        <f>IF(AND('Mapa final'!#REF!="Alta",'Mapa final'!#REF!="Leve"),CONCATENATE("R5C",'Mapa final'!#REF!),"")</f>
        <v>#REF!</v>
      </c>
      <c r="M20" s="52" t="e">
        <f>IF(AND('Mapa final'!#REF!="Alta",'Mapa final'!#REF!="Leve"),CONCATENATE("R5C",'Mapa final'!#REF!),"")</f>
        <v>#REF!</v>
      </c>
      <c r="N20" s="52" t="e">
        <f>IF(AND('Mapa final'!#REF!="Alta",'Mapa final'!#REF!="Leve"),CONCATENATE("R5C",'Mapa final'!#REF!),"")</f>
        <v>#REF!</v>
      </c>
      <c r="O20" s="53" t="e">
        <f>IF(AND('Mapa final'!#REF!="Alta",'Mapa final'!#REF!="Leve"),CONCATENATE("R5C",'Mapa final'!#REF!),"")</f>
        <v>#REF!</v>
      </c>
      <c r="P20" s="51" t="str">
        <f ca="1">IF(AND('Mapa final'!$AY$18="Alta",'Mapa final'!$BA$18="Menor"),CONCATENATE("R5C",'Mapa final'!$AL$18),"")</f>
        <v/>
      </c>
      <c r="Q20" s="52" t="e">
        <f>IF(AND('Mapa final'!#REF!="Alta",'Mapa final'!#REF!="Menor"),CONCATENATE("R5C",'Mapa final'!#REF!),"")</f>
        <v>#REF!</v>
      </c>
      <c r="R20" s="52" t="e">
        <f>IF(AND('Mapa final'!#REF!="Alta",'Mapa final'!#REF!="Menor"),CONCATENATE("R5C",'Mapa final'!#REF!),"")</f>
        <v>#REF!</v>
      </c>
      <c r="S20" s="52" t="e">
        <f>IF(AND('Mapa final'!#REF!="Alta",'Mapa final'!#REF!="Menor"),CONCATENATE("R5C",'Mapa final'!#REF!),"")</f>
        <v>#REF!</v>
      </c>
      <c r="T20" s="52" t="e">
        <f>IF(AND('Mapa final'!#REF!="Alta",'Mapa final'!#REF!="Menor"),CONCATENATE("R5C",'Mapa final'!#REF!),"")</f>
        <v>#REF!</v>
      </c>
      <c r="U20" s="53" t="e">
        <f>IF(AND('Mapa final'!#REF!="Alta",'Mapa final'!#REF!="Menor"),CONCATENATE("R5C",'Mapa final'!#REF!),"")</f>
        <v>#REF!</v>
      </c>
      <c r="V20" s="36" t="str">
        <f ca="1">IF(AND('Mapa final'!$AY$18="Alta",'Mapa final'!$BA$18="Moderado"),CONCATENATE("R5C",'Mapa final'!$AL$18),"")</f>
        <v/>
      </c>
      <c r="W20" s="37" t="e">
        <f>IF(AND('Mapa final'!#REF!="Alta",'Mapa final'!#REF!="Moderado"),CONCATENATE("R5C",'Mapa final'!#REF!),"")</f>
        <v>#REF!</v>
      </c>
      <c r="X20" s="37" t="e">
        <f>IF(AND('Mapa final'!#REF!="Alta",'Mapa final'!#REF!="Moderado"),CONCATENATE("R5C",'Mapa final'!#REF!),"")</f>
        <v>#REF!</v>
      </c>
      <c r="Y20" s="37" t="e">
        <f>IF(AND('Mapa final'!#REF!="Alta",'Mapa final'!#REF!="Moderado"),CONCATENATE("R5C",'Mapa final'!#REF!),"")</f>
        <v>#REF!</v>
      </c>
      <c r="Z20" s="37" t="e">
        <f>IF(AND('Mapa final'!#REF!="Alta",'Mapa final'!#REF!="Moderado"),CONCATENATE("R5C",'Mapa final'!#REF!),"")</f>
        <v>#REF!</v>
      </c>
      <c r="AA20" s="38" t="e">
        <f>IF(AND('Mapa final'!#REF!="Alta",'Mapa final'!#REF!="Moderado"),CONCATENATE("R5C",'Mapa final'!#REF!),"")</f>
        <v>#REF!</v>
      </c>
      <c r="AB20" s="36" t="str">
        <f ca="1">IF(AND('Mapa final'!$AY$18="Alta",'Mapa final'!$BA$18="Mayor"),CONCATENATE("R5C",'Mapa final'!$AL$18),"")</f>
        <v/>
      </c>
      <c r="AC20" s="37" t="e">
        <f>IF(AND('Mapa final'!#REF!="Alta",'Mapa final'!#REF!="Mayor"),CONCATENATE("R5C",'Mapa final'!#REF!),"")</f>
        <v>#REF!</v>
      </c>
      <c r="AD20" s="37" t="e">
        <f>IF(AND('Mapa final'!#REF!="Alta",'Mapa final'!#REF!="Mayor"),CONCATENATE("R5C",'Mapa final'!#REF!),"")</f>
        <v>#REF!</v>
      </c>
      <c r="AE20" s="37" t="e">
        <f>IF(AND('Mapa final'!#REF!="Alta",'Mapa final'!#REF!="Mayor"),CONCATENATE("R5C",'Mapa final'!#REF!),"")</f>
        <v>#REF!</v>
      </c>
      <c r="AF20" s="37" t="e">
        <f>IF(AND('Mapa final'!#REF!="Alta",'Mapa final'!#REF!="Mayor"),CONCATENATE("R5C",'Mapa final'!#REF!),"")</f>
        <v>#REF!</v>
      </c>
      <c r="AG20" s="38" t="e">
        <f>IF(AND('Mapa final'!#REF!="Alta",'Mapa final'!#REF!="Mayor"),CONCATENATE("R5C",'Mapa final'!#REF!),"")</f>
        <v>#REF!</v>
      </c>
      <c r="AH20" s="39" t="str">
        <f ca="1">IF(AND('Mapa final'!$AY$18="Alta",'Mapa final'!$BA$18="Catastrófico"),CONCATENATE("R5C",'Mapa final'!$AL$18),"")</f>
        <v/>
      </c>
      <c r="AI20" s="40" t="e">
        <f>IF(AND('Mapa final'!#REF!="Alta",'Mapa final'!#REF!="Catastrófico"),CONCATENATE("R5C",'Mapa final'!#REF!),"")</f>
        <v>#REF!</v>
      </c>
      <c r="AJ20" s="40" t="e">
        <f>IF(AND('Mapa final'!#REF!="Alta",'Mapa final'!#REF!="Catastrófico"),CONCATENATE("R5C",'Mapa final'!#REF!),"")</f>
        <v>#REF!</v>
      </c>
      <c r="AK20" s="40" t="e">
        <f>IF(AND('Mapa final'!#REF!="Alta",'Mapa final'!#REF!="Catastrófico"),CONCATENATE("R5C",'Mapa final'!#REF!),"")</f>
        <v>#REF!</v>
      </c>
      <c r="AL20" s="40" t="e">
        <f>IF(AND('Mapa final'!#REF!="Alta",'Mapa final'!#REF!="Catastrófico"),CONCATENATE("R5C",'Mapa final'!#REF!),"")</f>
        <v>#REF!</v>
      </c>
      <c r="AM20" s="41" t="e">
        <f>IF(AND('Mapa final'!#REF!="Alta",'Mapa final'!#REF!="Catastrófico"),CONCATENATE("R5C",'Mapa final'!#REF!),"")</f>
        <v>#REF!</v>
      </c>
      <c r="AN20" s="1"/>
      <c r="AO20" s="267"/>
      <c r="AP20" s="170"/>
      <c r="AQ20" s="170"/>
      <c r="AR20" s="170"/>
      <c r="AS20" s="170"/>
      <c r="AT20" s="268"/>
      <c r="AU20" s="1"/>
      <c r="AV20" s="1"/>
      <c r="AW20" s="1"/>
      <c r="AX20" s="1"/>
      <c r="AY20" s="1"/>
      <c r="AZ20" s="1"/>
      <c r="BA20" s="1"/>
      <c r="BB20" s="1"/>
      <c r="BC20" s="1"/>
      <c r="BD20" s="1"/>
      <c r="BE20" s="1"/>
      <c r="BF20" s="1"/>
      <c r="BG20" s="1"/>
      <c r="BH20" s="1"/>
      <c r="BI20" s="1"/>
    </row>
    <row r="21" spans="1:61" ht="15" customHeight="1" x14ac:dyDescent="0.25">
      <c r="A21" s="1"/>
      <c r="B21" s="258"/>
      <c r="C21" s="170"/>
      <c r="D21" s="171"/>
      <c r="E21" s="182"/>
      <c r="F21" s="170"/>
      <c r="G21" s="170"/>
      <c r="H21" s="170"/>
      <c r="I21" s="170"/>
      <c r="J21" s="51" t="str">
        <f ca="1">IF(AND('Mapa final'!$AY$19="Alta",'Mapa final'!$BA$19="Leve"),CONCATENATE("R6C",'Mapa final'!$AL$19),"")</f>
        <v/>
      </c>
      <c r="K21" s="52" t="str">
        <f ca="1">IF(AND('Mapa final'!$AY$20="Alta",'Mapa final'!$BA$20="Leve"),CONCATENATE("R6C",'Mapa final'!$AL$20),"")</f>
        <v/>
      </c>
      <c r="L21" s="52" t="e">
        <f>IF(AND('Mapa final'!#REF!="Alta",'Mapa final'!#REF!="Leve"),CONCATENATE("R6C",'Mapa final'!#REF!),"")</f>
        <v>#REF!</v>
      </c>
      <c r="M21" s="52" t="e">
        <f>IF(AND('Mapa final'!#REF!="Alta",'Mapa final'!#REF!="Leve"),CONCATENATE("R6C",'Mapa final'!#REF!),"")</f>
        <v>#REF!</v>
      </c>
      <c r="N21" s="52" t="e">
        <f>IF(AND('Mapa final'!#REF!="Alta",'Mapa final'!#REF!="Leve"),CONCATENATE("R6C",'Mapa final'!#REF!),"")</f>
        <v>#REF!</v>
      </c>
      <c r="O21" s="53" t="e">
        <f>IF(AND('Mapa final'!#REF!="Alta",'Mapa final'!#REF!="Leve"),CONCATENATE("R6C",'Mapa final'!#REF!),"")</f>
        <v>#REF!</v>
      </c>
      <c r="P21" s="51" t="str">
        <f ca="1">IF(AND('Mapa final'!$AY$19="Alta",'Mapa final'!$BA$19="Menor"),CONCATENATE("R6C",'Mapa final'!$AL$19),"")</f>
        <v/>
      </c>
      <c r="Q21" s="52" t="str">
        <f ca="1">IF(AND('Mapa final'!$AY$20="Alta",'Mapa final'!$BA$20="Menor"),CONCATENATE("R6C",'Mapa final'!$AL$20),"")</f>
        <v/>
      </c>
      <c r="R21" s="52" t="e">
        <f>IF(AND('Mapa final'!#REF!="Alta",'Mapa final'!#REF!="Menor"),CONCATENATE("R6C",'Mapa final'!#REF!),"")</f>
        <v>#REF!</v>
      </c>
      <c r="S21" s="52" t="e">
        <f>IF(AND('Mapa final'!#REF!="Alta",'Mapa final'!#REF!="Menor"),CONCATENATE("R6C",'Mapa final'!#REF!),"")</f>
        <v>#REF!</v>
      </c>
      <c r="T21" s="52" t="e">
        <f>IF(AND('Mapa final'!#REF!="Alta",'Mapa final'!#REF!="Menor"),CONCATENATE("R6C",'Mapa final'!#REF!),"")</f>
        <v>#REF!</v>
      </c>
      <c r="U21" s="53" t="e">
        <f>IF(AND('Mapa final'!#REF!="Alta",'Mapa final'!#REF!="Menor"),CONCATENATE("R6C",'Mapa final'!#REF!),"")</f>
        <v>#REF!</v>
      </c>
      <c r="V21" s="36" t="str">
        <f ca="1">IF(AND('Mapa final'!$AY$19="Alta",'Mapa final'!$BA$19="Moderado"),CONCATENATE("R6C",'Mapa final'!$AL$19),"")</f>
        <v/>
      </c>
      <c r="W21" s="37" t="str">
        <f ca="1">IF(AND('Mapa final'!$AY$20="Alta",'Mapa final'!$BA$20="Moderado"),CONCATENATE("R6C",'Mapa final'!$AL$20),"")</f>
        <v/>
      </c>
      <c r="X21" s="37" t="e">
        <f>IF(AND('Mapa final'!#REF!="Alta",'Mapa final'!#REF!="Moderado"),CONCATENATE("R6C",'Mapa final'!#REF!),"")</f>
        <v>#REF!</v>
      </c>
      <c r="Y21" s="37" t="e">
        <f>IF(AND('Mapa final'!#REF!="Alta",'Mapa final'!#REF!="Moderado"),CONCATENATE("R6C",'Mapa final'!#REF!),"")</f>
        <v>#REF!</v>
      </c>
      <c r="Z21" s="37" t="e">
        <f>IF(AND('Mapa final'!#REF!="Alta",'Mapa final'!#REF!="Moderado"),CONCATENATE("R6C",'Mapa final'!#REF!),"")</f>
        <v>#REF!</v>
      </c>
      <c r="AA21" s="38" t="e">
        <f>IF(AND('Mapa final'!#REF!="Alta",'Mapa final'!#REF!="Moderado"),CONCATENATE("R6C",'Mapa final'!#REF!),"")</f>
        <v>#REF!</v>
      </c>
      <c r="AB21" s="36" t="str">
        <f ca="1">IF(AND('Mapa final'!$AY$19="Alta",'Mapa final'!$BA$19="Mayor"),CONCATENATE("R6C",'Mapa final'!$AL$19),"")</f>
        <v/>
      </c>
      <c r="AC21" s="37" t="str">
        <f ca="1">IF(AND('Mapa final'!$AY$20="Alta",'Mapa final'!$BA$20="Mayor"),CONCATENATE("R6C",'Mapa final'!$AL$20),"")</f>
        <v/>
      </c>
      <c r="AD21" s="37" t="e">
        <f>IF(AND('Mapa final'!#REF!="Alta",'Mapa final'!#REF!="Mayor"),CONCATENATE("R6C",'Mapa final'!#REF!),"")</f>
        <v>#REF!</v>
      </c>
      <c r="AE21" s="37" t="e">
        <f>IF(AND('Mapa final'!#REF!="Alta",'Mapa final'!#REF!="Mayor"),CONCATENATE("R6C",'Mapa final'!#REF!),"")</f>
        <v>#REF!</v>
      </c>
      <c r="AF21" s="37" t="e">
        <f>IF(AND('Mapa final'!#REF!="Alta",'Mapa final'!#REF!="Mayor"),CONCATENATE("R6C",'Mapa final'!#REF!),"")</f>
        <v>#REF!</v>
      </c>
      <c r="AG21" s="38" t="e">
        <f>IF(AND('Mapa final'!#REF!="Alta",'Mapa final'!#REF!="Mayor"),CONCATENATE("R6C",'Mapa final'!#REF!),"")</f>
        <v>#REF!</v>
      </c>
      <c r="AH21" s="39" t="str">
        <f ca="1">IF(AND('Mapa final'!$AY$19="Alta",'Mapa final'!$BA$19="Catastrófico"),CONCATENATE("R6C",'Mapa final'!$AL$19),"")</f>
        <v/>
      </c>
      <c r="AI21" s="40" t="str">
        <f ca="1">IF(AND('Mapa final'!$AY$20="Alta",'Mapa final'!$BA$20="Catastrófico"),CONCATENATE("R6C",'Mapa final'!$AL$20),"")</f>
        <v/>
      </c>
      <c r="AJ21" s="40" t="e">
        <f>IF(AND('Mapa final'!#REF!="Alta",'Mapa final'!#REF!="Catastrófico"),CONCATENATE("R6C",'Mapa final'!#REF!),"")</f>
        <v>#REF!</v>
      </c>
      <c r="AK21" s="40" t="e">
        <f>IF(AND('Mapa final'!#REF!="Alta",'Mapa final'!#REF!="Catastrófico"),CONCATENATE("R6C",'Mapa final'!#REF!),"")</f>
        <v>#REF!</v>
      </c>
      <c r="AL21" s="40" t="e">
        <f>IF(AND('Mapa final'!#REF!="Alta",'Mapa final'!#REF!="Catastrófico"),CONCATENATE("R6C",'Mapa final'!#REF!),"")</f>
        <v>#REF!</v>
      </c>
      <c r="AM21" s="41" t="e">
        <f>IF(AND('Mapa final'!#REF!="Alta",'Mapa final'!#REF!="Catastrófico"),CONCATENATE("R6C",'Mapa final'!#REF!),"")</f>
        <v>#REF!</v>
      </c>
      <c r="AN21" s="1"/>
      <c r="AO21" s="267"/>
      <c r="AP21" s="170"/>
      <c r="AQ21" s="170"/>
      <c r="AR21" s="170"/>
      <c r="AS21" s="170"/>
      <c r="AT21" s="268"/>
      <c r="AU21" s="1"/>
      <c r="AV21" s="1"/>
      <c r="AW21" s="1"/>
      <c r="AX21" s="1"/>
      <c r="AY21" s="1"/>
      <c r="AZ21" s="1"/>
      <c r="BA21" s="1"/>
      <c r="BB21" s="1"/>
      <c r="BC21" s="1"/>
      <c r="BD21" s="1"/>
      <c r="BE21" s="1"/>
      <c r="BF21" s="1"/>
      <c r="BG21" s="1"/>
      <c r="BH21" s="1"/>
      <c r="BI21" s="1"/>
    </row>
    <row r="22" spans="1:61" ht="15" customHeight="1" x14ac:dyDescent="0.25">
      <c r="A22" s="1"/>
      <c r="B22" s="258"/>
      <c r="C22" s="170"/>
      <c r="D22" s="171"/>
      <c r="E22" s="182"/>
      <c r="F22" s="170"/>
      <c r="G22" s="170"/>
      <c r="H22" s="170"/>
      <c r="I22" s="170"/>
      <c r="J22" s="51" t="str">
        <f ca="1">IF(AND('Mapa final'!$AY$21="Alta",'Mapa final'!$BA$21="Leve"),CONCATENATE("R7C",'Mapa final'!$AL$21),"")</f>
        <v/>
      </c>
      <c r="K22" s="52" t="str">
        <f ca="1">IF(AND('Mapa final'!$AY$22="Alta",'Mapa final'!$BA$22="Leve"),CONCATENATE("R7C",'Mapa final'!$AL$22),"")</f>
        <v/>
      </c>
      <c r="L22" s="52" t="e">
        <f>IF(AND('Mapa final'!#REF!="Alta",'Mapa final'!#REF!="Leve"),CONCATENATE("R7C",'Mapa final'!#REF!),"")</f>
        <v>#REF!</v>
      </c>
      <c r="M22" s="52" t="e">
        <f>IF(AND('Mapa final'!#REF!="Alta",'Mapa final'!#REF!="Leve"),CONCATENATE("R7C",'Mapa final'!#REF!),"")</f>
        <v>#REF!</v>
      </c>
      <c r="N22" s="52" t="e">
        <f>IF(AND('Mapa final'!#REF!="Alta",'Mapa final'!#REF!="Leve"),CONCATENATE("R7C",'Mapa final'!#REF!),"")</f>
        <v>#REF!</v>
      </c>
      <c r="O22" s="53" t="e">
        <f>IF(AND('Mapa final'!#REF!="Alta",'Mapa final'!#REF!="Leve"),CONCATENATE("R7C",'Mapa final'!#REF!),"")</f>
        <v>#REF!</v>
      </c>
      <c r="P22" s="51" t="str">
        <f ca="1">IF(AND('Mapa final'!$AY$21="Alta",'Mapa final'!$BA$21="Menor"),CONCATENATE("R7C",'Mapa final'!$AL$21),"")</f>
        <v/>
      </c>
      <c r="Q22" s="52" t="str">
        <f ca="1">IF(AND('Mapa final'!$AY$22="Alta",'Mapa final'!$BA$22="Menor"),CONCATENATE("R7C",'Mapa final'!$AL$22),"")</f>
        <v/>
      </c>
      <c r="R22" s="52" t="e">
        <f>IF(AND('Mapa final'!#REF!="Alta",'Mapa final'!#REF!="Menor"),CONCATENATE("R7C",'Mapa final'!#REF!),"")</f>
        <v>#REF!</v>
      </c>
      <c r="S22" s="52" t="e">
        <f>IF(AND('Mapa final'!#REF!="Alta",'Mapa final'!#REF!="Menor"),CONCATENATE("R7C",'Mapa final'!#REF!),"")</f>
        <v>#REF!</v>
      </c>
      <c r="T22" s="52" t="e">
        <f>IF(AND('Mapa final'!#REF!="Alta",'Mapa final'!#REF!="Menor"),CONCATENATE("R7C",'Mapa final'!#REF!),"")</f>
        <v>#REF!</v>
      </c>
      <c r="U22" s="53" t="e">
        <f>IF(AND('Mapa final'!#REF!="Alta",'Mapa final'!#REF!="Menor"),CONCATENATE("R7C",'Mapa final'!#REF!),"")</f>
        <v>#REF!</v>
      </c>
      <c r="V22" s="36" t="str">
        <f ca="1">IF(AND('Mapa final'!$AY$21="Alta",'Mapa final'!$BA$21="Moderado"),CONCATENATE("R7C",'Mapa final'!$AL$21),"")</f>
        <v/>
      </c>
      <c r="W22" s="37" t="str">
        <f ca="1">IF(AND('Mapa final'!$AY$22="Alta",'Mapa final'!$BA$22="Moderado"),CONCATENATE("R7C",'Mapa final'!$AL$22),"")</f>
        <v/>
      </c>
      <c r="X22" s="37" t="e">
        <f>IF(AND('Mapa final'!#REF!="Alta",'Mapa final'!#REF!="Moderado"),CONCATENATE("R7C",'Mapa final'!#REF!),"")</f>
        <v>#REF!</v>
      </c>
      <c r="Y22" s="37" t="e">
        <f>IF(AND('Mapa final'!#REF!="Alta",'Mapa final'!#REF!="Moderado"),CONCATENATE("R7C",'Mapa final'!#REF!),"")</f>
        <v>#REF!</v>
      </c>
      <c r="Z22" s="37" t="e">
        <f>IF(AND('Mapa final'!#REF!="Alta",'Mapa final'!#REF!="Moderado"),CONCATENATE("R7C",'Mapa final'!#REF!),"")</f>
        <v>#REF!</v>
      </c>
      <c r="AA22" s="38" t="e">
        <f>IF(AND('Mapa final'!#REF!="Alta",'Mapa final'!#REF!="Moderado"),CONCATENATE("R7C",'Mapa final'!#REF!),"")</f>
        <v>#REF!</v>
      </c>
      <c r="AB22" s="36" t="str">
        <f ca="1">IF(AND('Mapa final'!$AY$21="Alta",'Mapa final'!$BA$21="Mayor"),CONCATENATE("R7C",'Mapa final'!$AL$21),"")</f>
        <v/>
      </c>
      <c r="AC22" s="37" t="str">
        <f ca="1">IF(AND('Mapa final'!$AY$22="Alta",'Mapa final'!$BA$22="Mayor"),CONCATENATE("R7C",'Mapa final'!$AL$22),"")</f>
        <v/>
      </c>
      <c r="AD22" s="37" t="e">
        <f>IF(AND('Mapa final'!#REF!="Alta",'Mapa final'!#REF!="Mayor"),CONCATENATE("R7C",'Mapa final'!#REF!),"")</f>
        <v>#REF!</v>
      </c>
      <c r="AE22" s="37" t="e">
        <f>IF(AND('Mapa final'!#REF!="Alta",'Mapa final'!#REF!="Mayor"),CONCATENATE("R7C",'Mapa final'!#REF!),"")</f>
        <v>#REF!</v>
      </c>
      <c r="AF22" s="37" t="e">
        <f>IF(AND('Mapa final'!#REF!="Alta",'Mapa final'!#REF!="Mayor"),CONCATENATE("R7C",'Mapa final'!#REF!),"")</f>
        <v>#REF!</v>
      </c>
      <c r="AG22" s="38" t="e">
        <f>IF(AND('Mapa final'!#REF!="Alta",'Mapa final'!#REF!="Mayor"),CONCATENATE("R7C",'Mapa final'!#REF!),"")</f>
        <v>#REF!</v>
      </c>
      <c r="AH22" s="39" t="str">
        <f ca="1">IF(AND('Mapa final'!$AY$21="Alta",'Mapa final'!$BA$21="Catastrófico"),CONCATENATE("R7C",'Mapa final'!$AL$21),"")</f>
        <v/>
      </c>
      <c r="AI22" s="40" t="str">
        <f ca="1">IF(AND('Mapa final'!$AY$22="Alta",'Mapa final'!$BA$22="Catastrófico"),CONCATENATE("R7C",'Mapa final'!$AL$22),"")</f>
        <v/>
      </c>
      <c r="AJ22" s="40" t="e">
        <f>IF(AND('Mapa final'!#REF!="Alta",'Mapa final'!#REF!="Catastrófico"),CONCATENATE("R7C",'Mapa final'!#REF!),"")</f>
        <v>#REF!</v>
      </c>
      <c r="AK22" s="40" t="e">
        <f>IF(AND('Mapa final'!#REF!="Alta",'Mapa final'!#REF!="Catastrófico"),CONCATENATE("R7C",'Mapa final'!#REF!),"")</f>
        <v>#REF!</v>
      </c>
      <c r="AL22" s="40" t="e">
        <f>IF(AND('Mapa final'!#REF!="Alta",'Mapa final'!#REF!="Catastrófico"),CONCATENATE("R7C",'Mapa final'!#REF!),"")</f>
        <v>#REF!</v>
      </c>
      <c r="AM22" s="41" t="e">
        <f>IF(AND('Mapa final'!#REF!="Alta",'Mapa final'!#REF!="Catastrófico"),CONCATENATE("R7C",'Mapa final'!#REF!),"")</f>
        <v>#REF!</v>
      </c>
      <c r="AN22" s="1"/>
      <c r="AO22" s="267"/>
      <c r="AP22" s="170"/>
      <c r="AQ22" s="170"/>
      <c r="AR22" s="170"/>
      <c r="AS22" s="170"/>
      <c r="AT22" s="268"/>
      <c r="AU22" s="1"/>
      <c r="AV22" s="1"/>
      <c r="AW22" s="1"/>
      <c r="AX22" s="1"/>
      <c r="AY22" s="1"/>
      <c r="AZ22" s="1"/>
      <c r="BA22" s="1"/>
      <c r="BB22" s="1"/>
      <c r="BC22" s="1"/>
      <c r="BD22" s="1"/>
      <c r="BE22" s="1"/>
      <c r="BF22" s="1"/>
      <c r="BG22" s="1"/>
      <c r="BH22" s="1"/>
      <c r="BI22" s="1"/>
    </row>
    <row r="23" spans="1:61" ht="15" customHeight="1" x14ac:dyDescent="0.25">
      <c r="A23" s="1"/>
      <c r="B23" s="258"/>
      <c r="C23" s="170"/>
      <c r="D23" s="171"/>
      <c r="E23" s="182"/>
      <c r="F23" s="170"/>
      <c r="G23" s="170"/>
      <c r="H23" s="170"/>
      <c r="I23" s="170"/>
      <c r="J23" s="51" t="str">
        <f ca="1">IF(AND('Mapa final'!$AY$23="Alta",'Mapa final'!$BA$23="Leve"),CONCATENATE("R8C",'Mapa final'!$AL$23),"")</f>
        <v/>
      </c>
      <c r="K23" s="52" t="e">
        <f>IF(AND('Mapa final'!#REF!="Alta",'Mapa final'!#REF!="Leve"),CONCATENATE("R8C",'Mapa final'!#REF!),"")</f>
        <v>#REF!</v>
      </c>
      <c r="L23" s="52" t="e">
        <f>IF(AND('Mapa final'!#REF!="Alta",'Mapa final'!#REF!="Leve"),CONCATENATE("R8C",'Mapa final'!#REF!),"")</f>
        <v>#REF!</v>
      </c>
      <c r="M23" s="52" t="e">
        <f>IF(AND('Mapa final'!#REF!="Alta",'Mapa final'!#REF!="Leve"),CONCATENATE("R8C",'Mapa final'!#REF!),"")</f>
        <v>#REF!</v>
      </c>
      <c r="N23" s="52" t="e">
        <f>IF(AND('Mapa final'!#REF!="Alta",'Mapa final'!#REF!="Leve"),CONCATENATE("R8C",'Mapa final'!#REF!),"")</f>
        <v>#REF!</v>
      </c>
      <c r="O23" s="53" t="e">
        <f>IF(AND('Mapa final'!#REF!="Alta",'Mapa final'!#REF!="Leve"),CONCATENATE("R8C",'Mapa final'!#REF!),"")</f>
        <v>#REF!</v>
      </c>
      <c r="P23" s="51" t="str">
        <f ca="1">IF(AND('Mapa final'!$AY$23="Alta",'Mapa final'!$BA$23="Menor"),CONCATENATE("R8C",'Mapa final'!$AL$23),"")</f>
        <v/>
      </c>
      <c r="Q23" s="52" t="e">
        <f>IF(AND('Mapa final'!#REF!="Alta",'Mapa final'!#REF!="Menor"),CONCATENATE("R8C",'Mapa final'!#REF!),"")</f>
        <v>#REF!</v>
      </c>
      <c r="R23" s="52" t="e">
        <f>IF(AND('Mapa final'!#REF!="Alta",'Mapa final'!#REF!="Menor"),CONCATENATE("R8C",'Mapa final'!#REF!),"")</f>
        <v>#REF!</v>
      </c>
      <c r="S23" s="52" t="e">
        <f>IF(AND('Mapa final'!#REF!="Alta",'Mapa final'!#REF!="Menor"),CONCATENATE("R8C",'Mapa final'!#REF!),"")</f>
        <v>#REF!</v>
      </c>
      <c r="T23" s="52" t="e">
        <f>IF(AND('Mapa final'!#REF!="Alta",'Mapa final'!#REF!="Menor"),CONCATENATE("R8C",'Mapa final'!#REF!),"")</f>
        <v>#REF!</v>
      </c>
      <c r="U23" s="53" t="e">
        <f>IF(AND('Mapa final'!#REF!="Alta",'Mapa final'!#REF!="Menor"),CONCATENATE("R8C",'Mapa final'!#REF!),"")</f>
        <v>#REF!</v>
      </c>
      <c r="V23" s="36" t="str">
        <f ca="1">IF(AND('Mapa final'!$AY$23="Alta",'Mapa final'!$BA$23="Moderado"),CONCATENATE("R8C",'Mapa final'!$AL$23),"")</f>
        <v/>
      </c>
      <c r="W23" s="37" t="e">
        <f>IF(AND('Mapa final'!#REF!="Alta",'Mapa final'!#REF!="Moderado"),CONCATENATE("R8C",'Mapa final'!#REF!),"")</f>
        <v>#REF!</v>
      </c>
      <c r="X23" s="37" t="e">
        <f>IF(AND('Mapa final'!#REF!="Alta",'Mapa final'!#REF!="Moderado"),CONCATENATE("R8C",'Mapa final'!#REF!),"")</f>
        <v>#REF!</v>
      </c>
      <c r="Y23" s="37" t="e">
        <f>IF(AND('Mapa final'!#REF!="Alta",'Mapa final'!#REF!="Moderado"),CONCATENATE("R8C",'Mapa final'!#REF!),"")</f>
        <v>#REF!</v>
      </c>
      <c r="Z23" s="37" t="e">
        <f>IF(AND('Mapa final'!#REF!="Alta",'Mapa final'!#REF!="Moderado"),CONCATENATE("R8C",'Mapa final'!#REF!),"")</f>
        <v>#REF!</v>
      </c>
      <c r="AA23" s="38" t="e">
        <f>IF(AND('Mapa final'!#REF!="Alta",'Mapa final'!#REF!="Moderado"),CONCATENATE("R8C",'Mapa final'!#REF!),"")</f>
        <v>#REF!</v>
      </c>
      <c r="AB23" s="36" t="str">
        <f ca="1">IF(AND('Mapa final'!$AY$23="Alta",'Mapa final'!$BA$23="Mayor"),CONCATENATE("R8C",'Mapa final'!$AL$23),"")</f>
        <v/>
      </c>
      <c r="AC23" s="37" t="e">
        <f>IF(AND('Mapa final'!#REF!="Alta",'Mapa final'!#REF!="Mayor"),CONCATENATE("R8C",'Mapa final'!#REF!),"")</f>
        <v>#REF!</v>
      </c>
      <c r="AD23" s="37" t="e">
        <f>IF(AND('Mapa final'!#REF!="Alta",'Mapa final'!#REF!="Mayor"),CONCATENATE("R8C",'Mapa final'!#REF!),"")</f>
        <v>#REF!</v>
      </c>
      <c r="AE23" s="37" t="e">
        <f>IF(AND('Mapa final'!#REF!="Alta",'Mapa final'!#REF!="Mayor"),CONCATENATE("R8C",'Mapa final'!#REF!),"")</f>
        <v>#REF!</v>
      </c>
      <c r="AF23" s="37" t="e">
        <f>IF(AND('Mapa final'!#REF!="Alta",'Mapa final'!#REF!="Mayor"),CONCATENATE("R8C",'Mapa final'!#REF!),"")</f>
        <v>#REF!</v>
      </c>
      <c r="AG23" s="38" t="e">
        <f>IF(AND('Mapa final'!#REF!="Alta",'Mapa final'!#REF!="Mayor"),CONCATENATE("R8C",'Mapa final'!#REF!),"")</f>
        <v>#REF!</v>
      </c>
      <c r="AH23" s="39" t="str">
        <f ca="1">IF(AND('Mapa final'!$AY$23="Alta",'Mapa final'!$BA$23="Catastrófico"),CONCATENATE("R8C",'Mapa final'!$AL$23),"")</f>
        <v/>
      </c>
      <c r="AI23" s="40" t="e">
        <f>IF(AND('Mapa final'!#REF!="Alta",'Mapa final'!#REF!="Catastrófico"),CONCATENATE("R8C",'Mapa final'!#REF!),"")</f>
        <v>#REF!</v>
      </c>
      <c r="AJ23" s="40" t="e">
        <f>IF(AND('Mapa final'!#REF!="Alta",'Mapa final'!#REF!="Catastrófico"),CONCATENATE("R8C",'Mapa final'!#REF!),"")</f>
        <v>#REF!</v>
      </c>
      <c r="AK23" s="40" t="e">
        <f>IF(AND('Mapa final'!#REF!="Alta",'Mapa final'!#REF!="Catastrófico"),CONCATENATE("R8C",'Mapa final'!#REF!),"")</f>
        <v>#REF!</v>
      </c>
      <c r="AL23" s="40" t="e">
        <f>IF(AND('Mapa final'!#REF!="Alta",'Mapa final'!#REF!="Catastrófico"),CONCATENATE("R8C",'Mapa final'!#REF!),"")</f>
        <v>#REF!</v>
      </c>
      <c r="AM23" s="41" t="e">
        <f>IF(AND('Mapa final'!#REF!="Alta",'Mapa final'!#REF!="Catastrófico"),CONCATENATE("R8C",'Mapa final'!#REF!),"")</f>
        <v>#REF!</v>
      </c>
      <c r="AN23" s="1"/>
      <c r="AO23" s="267"/>
      <c r="AP23" s="170"/>
      <c r="AQ23" s="170"/>
      <c r="AR23" s="170"/>
      <c r="AS23" s="170"/>
      <c r="AT23" s="268"/>
      <c r="AU23" s="1"/>
      <c r="AV23" s="1"/>
      <c r="AW23" s="1"/>
      <c r="AX23" s="1"/>
      <c r="AY23" s="1"/>
      <c r="AZ23" s="1"/>
      <c r="BA23" s="1"/>
      <c r="BB23" s="1"/>
      <c r="BC23" s="1"/>
      <c r="BD23" s="1"/>
      <c r="BE23" s="1"/>
      <c r="BF23" s="1"/>
      <c r="BG23" s="1"/>
      <c r="BH23" s="1"/>
      <c r="BI23" s="1"/>
    </row>
    <row r="24" spans="1:61" ht="15" customHeight="1" x14ac:dyDescent="0.25">
      <c r="A24" s="1"/>
      <c r="B24" s="258"/>
      <c r="C24" s="170"/>
      <c r="D24" s="171"/>
      <c r="E24" s="182"/>
      <c r="F24" s="170"/>
      <c r="G24" s="170"/>
      <c r="H24" s="170"/>
      <c r="I24" s="170"/>
      <c r="J24" s="51" t="str">
        <f ca="1">IF(AND('Mapa final'!$AY$24="Alta",'Mapa final'!$BA$24="Leve"),CONCATENATE("R9C",'Mapa final'!$AL$24),"")</f>
        <v/>
      </c>
      <c r="K24" s="52" t="e">
        <f>IF(AND('Mapa final'!#REF!="Alta",'Mapa final'!#REF!="Leve"),CONCATENATE("R9C",'Mapa final'!#REF!),"")</f>
        <v>#REF!</v>
      </c>
      <c r="L24" s="52" t="e">
        <f>IF(AND('Mapa final'!#REF!="Alta",'Mapa final'!#REF!="Leve"),CONCATENATE("R9C",'Mapa final'!#REF!),"")</f>
        <v>#REF!</v>
      </c>
      <c r="M24" s="52" t="e">
        <f>IF(AND('Mapa final'!#REF!="Alta",'Mapa final'!#REF!="Leve"),CONCATENATE("R9C",'Mapa final'!#REF!),"")</f>
        <v>#REF!</v>
      </c>
      <c r="N24" s="52" t="e">
        <f>IF(AND('Mapa final'!#REF!="Alta",'Mapa final'!#REF!="Leve"),CONCATENATE("R9C",'Mapa final'!#REF!),"")</f>
        <v>#REF!</v>
      </c>
      <c r="O24" s="53" t="e">
        <f>IF(AND('Mapa final'!#REF!="Alta",'Mapa final'!#REF!="Leve"),CONCATENATE("R9C",'Mapa final'!#REF!),"")</f>
        <v>#REF!</v>
      </c>
      <c r="P24" s="51" t="str">
        <f ca="1">IF(AND('Mapa final'!$AY$24="Alta",'Mapa final'!$BA$24="Menor"),CONCATENATE("R9C",'Mapa final'!$AL$24),"")</f>
        <v/>
      </c>
      <c r="Q24" s="52" t="e">
        <f>IF(AND('Mapa final'!#REF!="Alta",'Mapa final'!#REF!="Menor"),CONCATENATE("R9C",'Mapa final'!#REF!),"")</f>
        <v>#REF!</v>
      </c>
      <c r="R24" s="52" t="e">
        <f>IF(AND('Mapa final'!#REF!="Alta",'Mapa final'!#REF!="Menor"),CONCATENATE("R9C",'Mapa final'!#REF!),"")</f>
        <v>#REF!</v>
      </c>
      <c r="S24" s="52" t="e">
        <f>IF(AND('Mapa final'!#REF!="Alta",'Mapa final'!#REF!="Menor"),CONCATENATE("R9C",'Mapa final'!#REF!),"")</f>
        <v>#REF!</v>
      </c>
      <c r="T24" s="52" t="e">
        <f>IF(AND('Mapa final'!#REF!="Alta",'Mapa final'!#REF!="Menor"),CONCATENATE("R9C",'Mapa final'!#REF!),"")</f>
        <v>#REF!</v>
      </c>
      <c r="U24" s="53" t="e">
        <f>IF(AND('Mapa final'!#REF!="Alta",'Mapa final'!#REF!="Menor"),CONCATENATE("R9C",'Mapa final'!#REF!),"")</f>
        <v>#REF!</v>
      </c>
      <c r="V24" s="36" t="str">
        <f ca="1">IF(AND('Mapa final'!$AY$24="Alta",'Mapa final'!$BA$24="Moderado"),CONCATENATE("R9C",'Mapa final'!$AL$24),"")</f>
        <v/>
      </c>
      <c r="W24" s="37" t="e">
        <f>IF(AND('Mapa final'!#REF!="Alta",'Mapa final'!#REF!="Moderado"),CONCATENATE("R9C",'Mapa final'!#REF!),"")</f>
        <v>#REF!</v>
      </c>
      <c r="X24" s="37" t="e">
        <f>IF(AND('Mapa final'!#REF!="Alta",'Mapa final'!#REF!="Moderado"),CONCATENATE("R9C",'Mapa final'!#REF!),"")</f>
        <v>#REF!</v>
      </c>
      <c r="Y24" s="37" t="e">
        <f>IF(AND('Mapa final'!#REF!="Alta",'Mapa final'!#REF!="Moderado"),CONCATENATE("R9C",'Mapa final'!#REF!),"")</f>
        <v>#REF!</v>
      </c>
      <c r="Z24" s="37" t="e">
        <f>IF(AND('Mapa final'!#REF!="Alta",'Mapa final'!#REF!="Moderado"),CONCATENATE("R9C",'Mapa final'!#REF!),"")</f>
        <v>#REF!</v>
      </c>
      <c r="AA24" s="38" t="e">
        <f>IF(AND('Mapa final'!#REF!="Alta",'Mapa final'!#REF!="Moderado"),CONCATENATE("R9C",'Mapa final'!#REF!),"")</f>
        <v>#REF!</v>
      </c>
      <c r="AB24" s="36" t="str">
        <f ca="1">IF(AND('Mapa final'!$AY$24="Alta",'Mapa final'!$BA$24="Mayor"),CONCATENATE("R9C",'Mapa final'!$AL$24),"")</f>
        <v/>
      </c>
      <c r="AC24" s="37" t="e">
        <f>IF(AND('Mapa final'!#REF!="Alta",'Mapa final'!#REF!="Mayor"),CONCATENATE("R9C",'Mapa final'!#REF!),"")</f>
        <v>#REF!</v>
      </c>
      <c r="AD24" s="37" t="e">
        <f>IF(AND('Mapa final'!#REF!="Alta",'Mapa final'!#REF!="Mayor"),CONCATENATE("R9C",'Mapa final'!#REF!),"")</f>
        <v>#REF!</v>
      </c>
      <c r="AE24" s="37" t="e">
        <f>IF(AND('Mapa final'!#REF!="Alta",'Mapa final'!#REF!="Mayor"),CONCATENATE("R9C",'Mapa final'!#REF!),"")</f>
        <v>#REF!</v>
      </c>
      <c r="AF24" s="37" t="e">
        <f>IF(AND('Mapa final'!#REF!="Alta",'Mapa final'!#REF!="Mayor"),CONCATENATE("R9C",'Mapa final'!#REF!),"")</f>
        <v>#REF!</v>
      </c>
      <c r="AG24" s="38" t="e">
        <f>IF(AND('Mapa final'!#REF!="Alta",'Mapa final'!#REF!="Mayor"),CONCATENATE("R9C",'Mapa final'!#REF!),"")</f>
        <v>#REF!</v>
      </c>
      <c r="AH24" s="39" t="str">
        <f ca="1">IF(AND('Mapa final'!$AY$24="Alta",'Mapa final'!$BA$24="Catastrófico"),CONCATENATE("R9C",'Mapa final'!$AL$24),"")</f>
        <v/>
      </c>
      <c r="AI24" s="40" t="e">
        <f>IF(AND('Mapa final'!#REF!="Alta",'Mapa final'!#REF!="Catastrófico"),CONCATENATE("R9C",'Mapa final'!#REF!),"")</f>
        <v>#REF!</v>
      </c>
      <c r="AJ24" s="40" t="e">
        <f>IF(AND('Mapa final'!#REF!="Alta",'Mapa final'!#REF!="Catastrófico"),CONCATENATE("R9C",'Mapa final'!#REF!),"")</f>
        <v>#REF!</v>
      </c>
      <c r="AK24" s="40" t="e">
        <f>IF(AND('Mapa final'!#REF!="Alta",'Mapa final'!#REF!="Catastrófico"),CONCATENATE("R9C",'Mapa final'!#REF!),"")</f>
        <v>#REF!</v>
      </c>
      <c r="AL24" s="40" t="e">
        <f>IF(AND('Mapa final'!#REF!="Alta",'Mapa final'!#REF!="Catastrófico"),CONCATENATE("R9C",'Mapa final'!#REF!),"")</f>
        <v>#REF!</v>
      </c>
      <c r="AM24" s="41" t="e">
        <f>IF(AND('Mapa final'!#REF!="Alta",'Mapa final'!#REF!="Catastrófico"),CONCATENATE("R9C",'Mapa final'!#REF!),"")</f>
        <v>#REF!</v>
      </c>
      <c r="AN24" s="1"/>
      <c r="AO24" s="267"/>
      <c r="AP24" s="170"/>
      <c r="AQ24" s="170"/>
      <c r="AR24" s="170"/>
      <c r="AS24" s="170"/>
      <c r="AT24" s="268"/>
      <c r="AU24" s="1"/>
      <c r="AV24" s="1"/>
      <c r="AW24" s="1"/>
      <c r="AX24" s="1"/>
      <c r="AY24" s="1"/>
      <c r="AZ24" s="1"/>
      <c r="BA24" s="1"/>
      <c r="BB24" s="1"/>
      <c r="BC24" s="1"/>
      <c r="BD24" s="1"/>
      <c r="BE24" s="1"/>
      <c r="BF24" s="1"/>
      <c r="BG24" s="1"/>
      <c r="BH24" s="1"/>
      <c r="BI24" s="1"/>
    </row>
    <row r="25" spans="1:61" ht="15.75" customHeight="1" x14ac:dyDescent="0.25">
      <c r="A25" s="1"/>
      <c r="B25" s="258"/>
      <c r="C25" s="170"/>
      <c r="D25" s="171"/>
      <c r="E25" s="248"/>
      <c r="F25" s="249"/>
      <c r="G25" s="249"/>
      <c r="H25" s="249"/>
      <c r="I25" s="249"/>
      <c r="J25" s="54" t="str">
        <f ca="1">IF(AND('Mapa final'!$AY$25="Alta",'Mapa final'!$BA$25="Leve"),CONCATENATE("R10C",'Mapa final'!$AL$25),"")</f>
        <v/>
      </c>
      <c r="K25" s="55" t="str">
        <f ca="1">IF(AND('Mapa final'!$AY$26="Alta",'Mapa final'!$BA$26="Leve"),CONCATENATE("R10C",'Mapa final'!$AL$26),"")</f>
        <v/>
      </c>
      <c r="L25" s="55" t="e">
        <f>IF(AND('Mapa final'!#REF!="Alta",'Mapa final'!#REF!="Leve"),CONCATENATE("R10C",'Mapa final'!#REF!),"")</f>
        <v>#REF!</v>
      </c>
      <c r="M25" s="55" t="e">
        <f>IF(AND('Mapa final'!#REF!="Alta",'Mapa final'!#REF!="Leve"),CONCATENATE("R10C",'Mapa final'!#REF!),"")</f>
        <v>#REF!</v>
      </c>
      <c r="N25" s="55" t="e">
        <f>IF(AND('Mapa final'!#REF!="Alta",'Mapa final'!#REF!="Leve"),CONCATENATE("R10C",'Mapa final'!#REF!),"")</f>
        <v>#REF!</v>
      </c>
      <c r="O25" s="56" t="e">
        <f>IF(AND('Mapa final'!#REF!="Alta",'Mapa final'!#REF!="Leve"),CONCATENATE("R10C",'Mapa final'!#REF!),"")</f>
        <v>#REF!</v>
      </c>
      <c r="P25" s="54" t="str">
        <f ca="1">IF(AND('Mapa final'!$AY$25="Alta",'Mapa final'!$BA$25="Menor"),CONCATENATE("R10C",'Mapa final'!$AL$25),"")</f>
        <v/>
      </c>
      <c r="Q25" s="55" t="str">
        <f ca="1">IF(AND('Mapa final'!$AY$26="Alta",'Mapa final'!$BA$26="Menor"),CONCATENATE("R10C",'Mapa final'!$AL$26),"")</f>
        <v/>
      </c>
      <c r="R25" s="55" t="e">
        <f>IF(AND('Mapa final'!#REF!="Alta",'Mapa final'!#REF!="Menor"),CONCATENATE("R10C",'Mapa final'!#REF!),"")</f>
        <v>#REF!</v>
      </c>
      <c r="S25" s="55" t="e">
        <f>IF(AND('Mapa final'!#REF!="Alta",'Mapa final'!#REF!="Menor"),CONCATENATE("R10C",'Mapa final'!#REF!),"")</f>
        <v>#REF!</v>
      </c>
      <c r="T25" s="55" t="e">
        <f>IF(AND('Mapa final'!#REF!="Alta",'Mapa final'!#REF!="Menor"),CONCATENATE("R10C",'Mapa final'!#REF!),"")</f>
        <v>#REF!</v>
      </c>
      <c r="U25" s="56" t="e">
        <f>IF(AND('Mapa final'!#REF!="Alta",'Mapa final'!#REF!="Menor"),CONCATENATE("R10C",'Mapa final'!#REF!),"")</f>
        <v>#REF!</v>
      </c>
      <c r="V25" s="42" t="str">
        <f ca="1">IF(AND('Mapa final'!$AY$25="Alta",'Mapa final'!$BA$25="Moderado"),CONCATENATE("R10C",'Mapa final'!$AL$25),"")</f>
        <v/>
      </c>
      <c r="W25" s="43" t="str">
        <f ca="1">IF(AND('Mapa final'!$AY$26="Alta",'Mapa final'!$BA$26="Moderado"),CONCATENATE("R10C",'Mapa final'!$AL$26),"")</f>
        <v/>
      </c>
      <c r="X25" s="43" t="e">
        <f>IF(AND('Mapa final'!#REF!="Alta",'Mapa final'!#REF!="Moderado"),CONCATENATE("R10C",'Mapa final'!#REF!),"")</f>
        <v>#REF!</v>
      </c>
      <c r="Y25" s="43" t="e">
        <f>IF(AND('Mapa final'!#REF!="Alta",'Mapa final'!#REF!="Moderado"),CONCATENATE("R10C",'Mapa final'!#REF!),"")</f>
        <v>#REF!</v>
      </c>
      <c r="Z25" s="43" t="e">
        <f>IF(AND('Mapa final'!#REF!="Alta",'Mapa final'!#REF!="Moderado"),CONCATENATE("R10C",'Mapa final'!#REF!),"")</f>
        <v>#REF!</v>
      </c>
      <c r="AA25" s="44" t="e">
        <f>IF(AND('Mapa final'!#REF!="Alta",'Mapa final'!#REF!="Moderado"),CONCATENATE("R10C",'Mapa final'!#REF!),"")</f>
        <v>#REF!</v>
      </c>
      <c r="AB25" s="42" t="str">
        <f ca="1">IF(AND('Mapa final'!$AY$25="Alta",'Mapa final'!$BA$25="Mayor"),CONCATENATE("R10C",'Mapa final'!$AL$25),"")</f>
        <v/>
      </c>
      <c r="AC25" s="43" t="str">
        <f ca="1">IF(AND('Mapa final'!$AY$26="Alta",'Mapa final'!$BA$26="Mayor"),CONCATENATE("R10C",'Mapa final'!$AL$26),"")</f>
        <v/>
      </c>
      <c r="AD25" s="43" t="e">
        <f>IF(AND('Mapa final'!#REF!="Alta",'Mapa final'!#REF!="Mayor"),CONCATENATE("R10C",'Mapa final'!#REF!),"")</f>
        <v>#REF!</v>
      </c>
      <c r="AE25" s="43" t="e">
        <f>IF(AND('Mapa final'!#REF!="Alta",'Mapa final'!#REF!="Mayor"),CONCATENATE("R10C",'Mapa final'!#REF!),"")</f>
        <v>#REF!</v>
      </c>
      <c r="AF25" s="43" t="e">
        <f>IF(AND('Mapa final'!#REF!="Alta",'Mapa final'!#REF!="Mayor"),CONCATENATE("R10C",'Mapa final'!#REF!),"")</f>
        <v>#REF!</v>
      </c>
      <c r="AG25" s="44" t="e">
        <f>IF(AND('Mapa final'!#REF!="Alta",'Mapa final'!#REF!="Mayor"),CONCATENATE("R10C",'Mapa final'!#REF!),"")</f>
        <v>#REF!</v>
      </c>
      <c r="AH25" s="45" t="str">
        <f ca="1">IF(AND('Mapa final'!$AY$25="Alta",'Mapa final'!$BA$25="Catastrófico"),CONCATENATE("R10C",'Mapa final'!$AL$25),"")</f>
        <v/>
      </c>
      <c r="AI25" s="46" t="str">
        <f ca="1">IF(AND('Mapa final'!$AY$26="Alta",'Mapa final'!$BA$26="Catastrófico"),CONCATENATE("R10C",'Mapa final'!$AL$26),"")</f>
        <v/>
      </c>
      <c r="AJ25" s="46" t="e">
        <f>IF(AND('Mapa final'!#REF!="Alta",'Mapa final'!#REF!="Catastrófico"),CONCATENATE("R10C",'Mapa final'!#REF!),"")</f>
        <v>#REF!</v>
      </c>
      <c r="AK25" s="46" t="e">
        <f>IF(AND('Mapa final'!#REF!="Alta",'Mapa final'!#REF!="Catastrófico"),CONCATENATE("R10C",'Mapa final'!#REF!),"")</f>
        <v>#REF!</v>
      </c>
      <c r="AL25" s="46" t="e">
        <f>IF(AND('Mapa final'!#REF!="Alta",'Mapa final'!#REF!="Catastrófico"),CONCATENATE("R10C",'Mapa final'!#REF!),"")</f>
        <v>#REF!</v>
      </c>
      <c r="AM25" s="47" t="e">
        <f>IF(AND('Mapa final'!#REF!="Alta",'Mapa final'!#REF!="Catastrófico"),CONCATENATE("R10C",'Mapa final'!#REF!),"")</f>
        <v>#REF!</v>
      </c>
      <c r="AN25" s="1"/>
      <c r="AO25" s="269"/>
      <c r="AP25" s="270"/>
      <c r="AQ25" s="270"/>
      <c r="AR25" s="270"/>
      <c r="AS25" s="270"/>
      <c r="AT25" s="271"/>
      <c r="AU25" s="1"/>
      <c r="AV25" s="1"/>
      <c r="AW25" s="1"/>
      <c r="AX25" s="1"/>
      <c r="AY25" s="1"/>
      <c r="AZ25" s="1"/>
      <c r="BA25" s="1"/>
      <c r="BB25" s="1"/>
      <c r="BC25" s="1"/>
      <c r="BD25" s="1"/>
      <c r="BE25" s="1"/>
      <c r="BF25" s="1"/>
      <c r="BG25" s="1"/>
      <c r="BH25" s="1"/>
      <c r="BI25" s="1"/>
    </row>
    <row r="26" spans="1:61" ht="15" customHeight="1" x14ac:dyDescent="0.25">
      <c r="A26" s="1"/>
      <c r="B26" s="258"/>
      <c r="C26" s="170"/>
      <c r="D26" s="171"/>
      <c r="E26" s="276" t="s">
        <v>97</v>
      </c>
      <c r="F26" s="247"/>
      <c r="G26" s="247"/>
      <c r="H26" s="247"/>
      <c r="I26" s="233"/>
      <c r="J26" s="48" t="str">
        <f ca="1">IF(AND('Mapa final'!$AY$10="Media",'Mapa final'!$BA$10="Leve"),CONCATENATE("R1C",'Mapa final'!$AL$10),"")</f>
        <v/>
      </c>
      <c r="K26" s="49" t="str">
        <f ca="1">IF(AND('Mapa final'!$AY$11="Media",'Mapa final'!$BA$11="Leve"),CONCATENATE("R1C",'Mapa final'!$AL$11),"")</f>
        <v/>
      </c>
      <c r="L26" s="49" t="e">
        <f>IF(AND('Mapa final'!#REF!="Media",'Mapa final'!#REF!="Leve"),CONCATENATE("R1C",'Mapa final'!#REF!),"")</f>
        <v>#REF!</v>
      </c>
      <c r="M26" s="49" t="e">
        <f>IF(AND('Mapa final'!#REF!="Media",'Mapa final'!#REF!="Leve"),CONCATENATE("R1C",'Mapa final'!#REF!),"")</f>
        <v>#REF!</v>
      </c>
      <c r="N26" s="49" t="e">
        <f>IF(AND('Mapa final'!#REF!="Media",'Mapa final'!#REF!="Leve"),CONCATENATE("R1C",'Mapa final'!#REF!),"")</f>
        <v>#REF!</v>
      </c>
      <c r="O26" s="50" t="e">
        <f>IF(AND('Mapa final'!#REF!="Media",'Mapa final'!#REF!="Leve"),CONCATENATE("R1C",'Mapa final'!#REF!),"")</f>
        <v>#REF!</v>
      </c>
      <c r="P26" s="48" t="str">
        <f ca="1">IF(AND('Mapa final'!$AY$10="Media",'Mapa final'!$BA$10="Menor"),CONCATENATE("R1C",'Mapa final'!$AL$10),"")</f>
        <v/>
      </c>
      <c r="Q26" s="49" t="str">
        <f ca="1">IF(AND('Mapa final'!$AY$11="Media",'Mapa final'!$BA$11="Menor"),CONCATENATE("R1C",'Mapa final'!$AL$11),"")</f>
        <v/>
      </c>
      <c r="R26" s="49" t="e">
        <f>IF(AND('Mapa final'!#REF!="Media",'Mapa final'!#REF!="Menor"),CONCATENATE("R1C",'Mapa final'!#REF!),"")</f>
        <v>#REF!</v>
      </c>
      <c r="S26" s="49" t="e">
        <f>IF(AND('Mapa final'!#REF!="Media",'Mapa final'!#REF!="Menor"),CONCATENATE("R1C",'Mapa final'!#REF!),"")</f>
        <v>#REF!</v>
      </c>
      <c r="T26" s="49" t="e">
        <f>IF(AND('Mapa final'!#REF!="Media",'Mapa final'!#REF!="Menor"),CONCATENATE("R1C",'Mapa final'!#REF!),"")</f>
        <v>#REF!</v>
      </c>
      <c r="U26" s="50" t="e">
        <f>IF(AND('Mapa final'!#REF!="Media",'Mapa final'!#REF!="Menor"),CONCATENATE("R1C",'Mapa final'!#REF!),"")</f>
        <v>#REF!</v>
      </c>
      <c r="V26" s="48" t="str">
        <f ca="1">IF(AND('Mapa final'!$AY$10="Media",'Mapa final'!$BA$10="Moderado"),CONCATENATE("R1C",'Mapa final'!$AL$10),"")</f>
        <v>R1C1</v>
      </c>
      <c r="W26" s="49" t="str">
        <f ca="1">IF(AND('Mapa final'!$AY$11="Media",'Mapa final'!$BA$11="Moderado"),CONCATENATE("R1C",'Mapa final'!$AL$11),"")</f>
        <v/>
      </c>
      <c r="X26" s="49" t="e">
        <f>IF(AND('Mapa final'!#REF!="Media",'Mapa final'!#REF!="Moderado"),CONCATENATE("R1C",'Mapa final'!#REF!),"")</f>
        <v>#REF!</v>
      </c>
      <c r="Y26" s="49" t="e">
        <f>IF(AND('Mapa final'!#REF!="Media",'Mapa final'!#REF!="Moderado"),CONCATENATE("R1C",'Mapa final'!#REF!),"")</f>
        <v>#REF!</v>
      </c>
      <c r="Z26" s="49" t="e">
        <f>IF(AND('Mapa final'!#REF!="Media",'Mapa final'!#REF!="Moderado"),CONCATENATE("R1C",'Mapa final'!#REF!),"")</f>
        <v>#REF!</v>
      </c>
      <c r="AA26" s="50" t="e">
        <f>IF(AND('Mapa final'!#REF!="Media",'Mapa final'!#REF!="Moderado"),CONCATENATE("R1C",'Mapa final'!#REF!),"")</f>
        <v>#REF!</v>
      </c>
      <c r="AB26" s="30" t="str">
        <f ca="1">IF(AND('Mapa final'!$AY$10="Media",'Mapa final'!$BA$10="Mayor"),CONCATENATE("R1C",'Mapa final'!$AL$10),"")</f>
        <v/>
      </c>
      <c r="AC26" s="31" t="str">
        <f ca="1">IF(AND('Mapa final'!$AY$11="Media",'Mapa final'!$BA$11="Mayor"),CONCATENATE("R1C",'Mapa final'!$AL$11),"")</f>
        <v/>
      </c>
      <c r="AD26" s="31" t="e">
        <f>IF(AND('Mapa final'!#REF!="Media",'Mapa final'!#REF!="Mayor"),CONCATENATE("R1C",'Mapa final'!#REF!),"")</f>
        <v>#REF!</v>
      </c>
      <c r="AE26" s="31" t="e">
        <f>IF(AND('Mapa final'!#REF!="Media",'Mapa final'!#REF!="Mayor"),CONCATENATE("R1C",'Mapa final'!#REF!),"")</f>
        <v>#REF!</v>
      </c>
      <c r="AF26" s="31" t="e">
        <f>IF(AND('Mapa final'!#REF!="Media",'Mapa final'!#REF!="Mayor"),CONCATENATE("R1C",'Mapa final'!#REF!),"")</f>
        <v>#REF!</v>
      </c>
      <c r="AG26" s="32" t="e">
        <f>IF(AND('Mapa final'!#REF!="Media",'Mapa final'!#REF!="Mayor"),CONCATENATE("R1C",'Mapa final'!#REF!),"")</f>
        <v>#REF!</v>
      </c>
      <c r="AH26" s="33" t="str">
        <f ca="1">IF(AND('Mapa final'!$AY$10="Media",'Mapa final'!$BA$10="Catastrófico"),CONCATENATE("R1C",'Mapa final'!$AL$10),"")</f>
        <v/>
      </c>
      <c r="AI26" s="34" t="str">
        <f ca="1">IF(AND('Mapa final'!$AY$11="Media",'Mapa final'!$BA$11="Catastrófico"),CONCATENATE("R1C",'Mapa final'!$AL$11),"")</f>
        <v/>
      </c>
      <c r="AJ26" s="34" t="e">
        <f>IF(AND('Mapa final'!#REF!="Media",'Mapa final'!#REF!="Catastrófico"),CONCATENATE("R1C",'Mapa final'!#REF!),"")</f>
        <v>#REF!</v>
      </c>
      <c r="AK26" s="34" t="e">
        <f>IF(AND('Mapa final'!#REF!="Media",'Mapa final'!#REF!="Catastrófico"),CONCATENATE("R1C",'Mapa final'!#REF!),"")</f>
        <v>#REF!</v>
      </c>
      <c r="AL26" s="34" t="e">
        <f>IF(AND('Mapa final'!#REF!="Media",'Mapa final'!#REF!="Catastrófico"),CONCATENATE("R1C",'Mapa final'!#REF!),"")</f>
        <v>#REF!</v>
      </c>
      <c r="AM26" s="35" t="e">
        <f>IF(AND('Mapa final'!#REF!="Media",'Mapa final'!#REF!="Catastrófico"),CONCATENATE("R1C",'Mapa final'!#REF!),"")</f>
        <v>#REF!</v>
      </c>
      <c r="AN26" s="1"/>
      <c r="AO26" s="278" t="s">
        <v>98</v>
      </c>
      <c r="AP26" s="265"/>
      <c r="AQ26" s="265"/>
      <c r="AR26" s="265"/>
      <c r="AS26" s="265"/>
      <c r="AT26" s="266"/>
      <c r="AU26" s="1"/>
      <c r="AV26" s="1"/>
      <c r="AW26" s="1"/>
      <c r="AX26" s="1"/>
      <c r="AY26" s="1"/>
      <c r="AZ26" s="1"/>
      <c r="BA26" s="1"/>
      <c r="BB26" s="1"/>
      <c r="BC26" s="1"/>
      <c r="BD26" s="1"/>
      <c r="BE26" s="1"/>
      <c r="BF26" s="1"/>
      <c r="BG26" s="1"/>
      <c r="BH26" s="1"/>
      <c r="BI26" s="1"/>
    </row>
    <row r="27" spans="1:61" ht="15" customHeight="1" x14ac:dyDescent="0.25">
      <c r="A27" s="1"/>
      <c r="B27" s="258"/>
      <c r="C27" s="170"/>
      <c r="D27" s="171"/>
      <c r="E27" s="182"/>
      <c r="F27" s="170"/>
      <c r="G27" s="170"/>
      <c r="H27" s="170"/>
      <c r="I27" s="171"/>
      <c r="J27" s="51" t="str">
        <f ca="1">IF(AND('Mapa final'!$AY$12="Media",'Mapa final'!$BA$12="Leve"),CONCATENATE("R2C",'Mapa final'!$AL$12),"")</f>
        <v/>
      </c>
      <c r="K27" s="52" t="str">
        <f ca="1">IF(AND('Mapa final'!$AY$13="Media",'Mapa final'!$BA$13="Leve"),CONCATENATE("R2C",'Mapa final'!$AL$13),"")</f>
        <v/>
      </c>
      <c r="L27" s="52" t="e">
        <f>IF(AND('Mapa final'!#REF!="Media",'Mapa final'!#REF!="Leve"),CONCATENATE("R2C",'Mapa final'!#REF!),"")</f>
        <v>#REF!</v>
      </c>
      <c r="M27" s="52" t="e">
        <f>IF(AND('Mapa final'!#REF!="Media",'Mapa final'!#REF!="Leve"),CONCATENATE("R2C",'Mapa final'!#REF!),"")</f>
        <v>#REF!</v>
      </c>
      <c r="N27" s="52" t="e">
        <f>IF(AND('Mapa final'!#REF!="Media",'Mapa final'!#REF!="Leve"),CONCATENATE("R2C",'Mapa final'!#REF!),"")</f>
        <v>#REF!</v>
      </c>
      <c r="O27" s="53" t="e">
        <f>IF(AND('Mapa final'!#REF!="Media",'Mapa final'!#REF!="Leve"),CONCATENATE("R2C",'Mapa final'!#REF!),"")</f>
        <v>#REF!</v>
      </c>
      <c r="P27" s="51" t="str">
        <f ca="1">IF(AND('Mapa final'!$AY$12="Media",'Mapa final'!$BA$12="Menor"),CONCATENATE("R2C",'Mapa final'!$AL$12),"")</f>
        <v/>
      </c>
      <c r="Q27" s="52" t="str">
        <f ca="1">IF(AND('Mapa final'!$AY$13="Media",'Mapa final'!$BA$13="Menor"),CONCATENATE("R2C",'Mapa final'!$AL$13),"")</f>
        <v/>
      </c>
      <c r="R27" s="52" t="e">
        <f>IF(AND('Mapa final'!#REF!="Media",'Mapa final'!#REF!="Menor"),CONCATENATE("R2C",'Mapa final'!#REF!),"")</f>
        <v>#REF!</v>
      </c>
      <c r="S27" s="52" t="e">
        <f>IF(AND('Mapa final'!#REF!="Media",'Mapa final'!#REF!="Menor"),CONCATENATE("R2C",'Mapa final'!#REF!),"")</f>
        <v>#REF!</v>
      </c>
      <c r="T27" s="52" t="e">
        <f>IF(AND('Mapa final'!#REF!="Media",'Mapa final'!#REF!="Menor"),CONCATENATE("R2C",'Mapa final'!#REF!),"")</f>
        <v>#REF!</v>
      </c>
      <c r="U27" s="53" t="e">
        <f>IF(AND('Mapa final'!#REF!="Media",'Mapa final'!#REF!="Menor"),CONCATENATE("R2C",'Mapa final'!#REF!),"")</f>
        <v>#REF!</v>
      </c>
      <c r="V27" s="51" t="str">
        <f ca="1">IF(AND('Mapa final'!$AY$12="Media",'Mapa final'!$BA$12="Moderado"),CONCATENATE("R2C",'Mapa final'!$AL$12),"")</f>
        <v>R2C1</v>
      </c>
      <c r="W27" s="52" t="str">
        <f ca="1">IF(AND('Mapa final'!$AY$13="Media",'Mapa final'!$BA$13="Moderado"),CONCATENATE("R2C",'Mapa final'!$AL$13),"")</f>
        <v>R2C2</v>
      </c>
      <c r="X27" s="52" t="e">
        <f>IF(AND('Mapa final'!#REF!="Media",'Mapa final'!#REF!="Moderado"),CONCATENATE("R2C",'Mapa final'!#REF!),"")</f>
        <v>#REF!</v>
      </c>
      <c r="Y27" s="52" t="e">
        <f>IF(AND('Mapa final'!#REF!="Media",'Mapa final'!#REF!="Moderado"),CONCATENATE("R2C",'Mapa final'!#REF!),"")</f>
        <v>#REF!</v>
      </c>
      <c r="Z27" s="52" t="e">
        <f>IF(AND('Mapa final'!#REF!="Media",'Mapa final'!#REF!="Moderado"),CONCATENATE("R2C",'Mapa final'!#REF!),"")</f>
        <v>#REF!</v>
      </c>
      <c r="AA27" s="53" t="e">
        <f>IF(AND('Mapa final'!#REF!="Media",'Mapa final'!#REF!="Moderado"),CONCATENATE("R2C",'Mapa final'!#REF!),"")</f>
        <v>#REF!</v>
      </c>
      <c r="AB27" s="36" t="str">
        <f ca="1">IF(AND('Mapa final'!$AY$12="Media",'Mapa final'!$BA$12="Mayor"),CONCATENATE("R2C",'Mapa final'!$AL$12),"")</f>
        <v/>
      </c>
      <c r="AC27" s="37" t="str">
        <f ca="1">IF(AND('Mapa final'!$AY$13="Media",'Mapa final'!$BA$13="Mayor"),CONCATENATE("R2C",'Mapa final'!$AL$13),"")</f>
        <v/>
      </c>
      <c r="AD27" s="37" t="e">
        <f>IF(AND('Mapa final'!#REF!="Media",'Mapa final'!#REF!="Mayor"),CONCATENATE("R2C",'Mapa final'!#REF!),"")</f>
        <v>#REF!</v>
      </c>
      <c r="AE27" s="37" t="e">
        <f>IF(AND('Mapa final'!#REF!="Media",'Mapa final'!#REF!="Mayor"),CONCATENATE("R2C",'Mapa final'!#REF!),"")</f>
        <v>#REF!</v>
      </c>
      <c r="AF27" s="37" t="e">
        <f>IF(AND('Mapa final'!#REF!="Media",'Mapa final'!#REF!="Mayor"),CONCATENATE("R2C",'Mapa final'!#REF!),"")</f>
        <v>#REF!</v>
      </c>
      <c r="AG27" s="38" t="e">
        <f>IF(AND('Mapa final'!#REF!="Media",'Mapa final'!#REF!="Mayor"),CONCATENATE("R2C",'Mapa final'!#REF!),"")</f>
        <v>#REF!</v>
      </c>
      <c r="AH27" s="39" t="str">
        <f ca="1">IF(AND('Mapa final'!$AY$12="Media",'Mapa final'!$BA$12="Catastrófico"),CONCATENATE("R2C",'Mapa final'!$AL$12),"")</f>
        <v/>
      </c>
      <c r="AI27" s="40" t="str">
        <f ca="1">IF(AND('Mapa final'!$AY$13="Media",'Mapa final'!$BA$13="Catastrófico"),CONCATENATE("R2C",'Mapa final'!$AL$13),"")</f>
        <v/>
      </c>
      <c r="AJ27" s="40" t="e">
        <f>IF(AND('Mapa final'!#REF!="Media",'Mapa final'!#REF!="Catastrófico"),CONCATENATE("R2C",'Mapa final'!#REF!),"")</f>
        <v>#REF!</v>
      </c>
      <c r="AK27" s="40" t="e">
        <f>IF(AND('Mapa final'!#REF!="Media",'Mapa final'!#REF!="Catastrófico"),CONCATENATE("R2C",'Mapa final'!#REF!),"")</f>
        <v>#REF!</v>
      </c>
      <c r="AL27" s="40" t="e">
        <f>IF(AND('Mapa final'!#REF!="Media",'Mapa final'!#REF!="Catastrófico"),CONCATENATE("R2C",'Mapa final'!#REF!),"")</f>
        <v>#REF!</v>
      </c>
      <c r="AM27" s="41" t="e">
        <f>IF(AND('Mapa final'!#REF!="Media",'Mapa final'!#REF!="Catastrófico"),CONCATENATE("R2C",'Mapa final'!#REF!),"")</f>
        <v>#REF!</v>
      </c>
      <c r="AN27" s="1"/>
      <c r="AO27" s="267"/>
      <c r="AP27" s="170"/>
      <c r="AQ27" s="170"/>
      <c r="AR27" s="170"/>
      <c r="AS27" s="170"/>
      <c r="AT27" s="268"/>
      <c r="AU27" s="1"/>
      <c r="AV27" s="1"/>
      <c r="AW27" s="1"/>
      <c r="AX27" s="1"/>
      <c r="AY27" s="1"/>
      <c r="AZ27" s="1"/>
      <c r="BA27" s="1"/>
      <c r="BB27" s="1"/>
      <c r="BC27" s="1"/>
      <c r="BD27" s="1"/>
      <c r="BE27" s="1"/>
      <c r="BF27" s="1"/>
      <c r="BG27" s="1"/>
      <c r="BH27" s="1"/>
      <c r="BI27" s="1"/>
    </row>
    <row r="28" spans="1:61" ht="15" customHeight="1" x14ac:dyDescent="0.25">
      <c r="A28" s="1"/>
      <c r="B28" s="258"/>
      <c r="C28" s="170"/>
      <c r="D28" s="171"/>
      <c r="E28" s="182"/>
      <c r="F28" s="170"/>
      <c r="G28" s="170"/>
      <c r="H28" s="170"/>
      <c r="I28" s="171"/>
      <c r="J28" s="51" t="str">
        <f ca="1">IF(AND('Mapa final'!$AY$14="Media",'Mapa final'!$BA$14="Leve"),CONCATENATE("R3C",'Mapa final'!$AL$14),"")</f>
        <v/>
      </c>
      <c r="K28" s="52" t="e">
        <f>IF(AND('Mapa final'!#REF!="Media",'Mapa final'!#REF!="Leve"),CONCATENATE("R3C",'Mapa final'!#REF!),"")</f>
        <v>#REF!</v>
      </c>
      <c r="L28" s="52" t="e">
        <f>IF(AND('Mapa final'!#REF!="Media",'Mapa final'!#REF!="Leve"),CONCATENATE("R3C",'Mapa final'!#REF!),"")</f>
        <v>#REF!</v>
      </c>
      <c r="M28" s="52" t="e">
        <f>IF(AND('Mapa final'!#REF!="Media",'Mapa final'!#REF!="Leve"),CONCATENATE("R3C",'Mapa final'!#REF!),"")</f>
        <v>#REF!</v>
      </c>
      <c r="N28" s="52" t="e">
        <f>IF(AND('Mapa final'!#REF!="Media",'Mapa final'!#REF!="Leve"),CONCATENATE("R3C",'Mapa final'!#REF!),"")</f>
        <v>#REF!</v>
      </c>
      <c r="O28" s="53" t="e">
        <f>IF(AND('Mapa final'!#REF!="Media",'Mapa final'!#REF!="Leve"),CONCATENATE("R3C",'Mapa final'!#REF!),"")</f>
        <v>#REF!</v>
      </c>
      <c r="P28" s="51" t="str">
        <f ca="1">IF(AND('Mapa final'!$AY$14="Media",'Mapa final'!$BA$14="Menor"),CONCATENATE("R3C",'Mapa final'!$AL$14),"")</f>
        <v/>
      </c>
      <c r="Q28" s="52" t="e">
        <f>IF(AND('Mapa final'!#REF!="Media",'Mapa final'!#REF!="Menor"),CONCATENATE("R3C",'Mapa final'!#REF!),"")</f>
        <v>#REF!</v>
      </c>
      <c r="R28" s="52" t="e">
        <f>IF(AND('Mapa final'!#REF!="Media",'Mapa final'!#REF!="Menor"),CONCATENATE("R3C",'Mapa final'!#REF!),"")</f>
        <v>#REF!</v>
      </c>
      <c r="S28" s="52" t="e">
        <f>IF(AND('Mapa final'!#REF!="Media",'Mapa final'!#REF!="Menor"),CONCATENATE("R3C",'Mapa final'!#REF!),"")</f>
        <v>#REF!</v>
      </c>
      <c r="T28" s="52" t="e">
        <f>IF(AND('Mapa final'!#REF!="Media",'Mapa final'!#REF!="Menor"),CONCATENATE("R3C",'Mapa final'!#REF!),"")</f>
        <v>#REF!</v>
      </c>
      <c r="U28" s="53" t="e">
        <f>IF(AND('Mapa final'!#REF!="Media",'Mapa final'!#REF!="Menor"),CONCATENATE("R3C",'Mapa final'!#REF!),"")</f>
        <v>#REF!</v>
      </c>
      <c r="V28" s="51" t="str">
        <f ca="1">IF(AND('Mapa final'!$AY$14="Media",'Mapa final'!$BA$14="Moderado"),CONCATENATE("R3C",'Mapa final'!$AL$14),"")</f>
        <v>R3C1</v>
      </c>
      <c r="W28" s="52" t="e">
        <f>IF(AND('Mapa final'!#REF!="Media",'Mapa final'!#REF!="Moderado"),CONCATENATE("R3C",'Mapa final'!#REF!),"")</f>
        <v>#REF!</v>
      </c>
      <c r="X28" s="52" t="e">
        <f>IF(AND('Mapa final'!#REF!="Media",'Mapa final'!#REF!="Moderado"),CONCATENATE("R3C",'Mapa final'!#REF!),"")</f>
        <v>#REF!</v>
      </c>
      <c r="Y28" s="52" t="e">
        <f>IF(AND('Mapa final'!#REF!="Media",'Mapa final'!#REF!="Moderado"),CONCATENATE("R3C",'Mapa final'!#REF!),"")</f>
        <v>#REF!</v>
      </c>
      <c r="Z28" s="52" t="e">
        <f>IF(AND('Mapa final'!#REF!="Media",'Mapa final'!#REF!="Moderado"),CONCATENATE("R3C",'Mapa final'!#REF!),"")</f>
        <v>#REF!</v>
      </c>
      <c r="AA28" s="53" t="e">
        <f>IF(AND('Mapa final'!#REF!="Media",'Mapa final'!#REF!="Moderado"),CONCATENATE("R3C",'Mapa final'!#REF!),"")</f>
        <v>#REF!</v>
      </c>
      <c r="AB28" s="36" t="str">
        <f ca="1">IF(AND('Mapa final'!$AY$14="Media",'Mapa final'!$BA$14="Mayor"),CONCATENATE("R3C",'Mapa final'!$AL$14),"")</f>
        <v/>
      </c>
      <c r="AC28" s="37" t="e">
        <f>IF(AND('Mapa final'!#REF!="Media",'Mapa final'!#REF!="Mayor"),CONCATENATE("R3C",'Mapa final'!#REF!),"")</f>
        <v>#REF!</v>
      </c>
      <c r="AD28" s="37" t="e">
        <f>IF(AND('Mapa final'!#REF!="Media",'Mapa final'!#REF!="Mayor"),CONCATENATE("R3C",'Mapa final'!#REF!),"")</f>
        <v>#REF!</v>
      </c>
      <c r="AE28" s="37" t="e">
        <f>IF(AND('Mapa final'!#REF!="Media",'Mapa final'!#REF!="Mayor"),CONCATENATE("R3C",'Mapa final'!#REF!),"")</f>
        <v>#REF!</v>
      </c>
      <c r="AF28" s="37" t="e">
        <f>IF(AND('Mapa final'!#REF!="Media",'Mapa final'!#REF!="Mayor"),CONCATENATE("R3C",'Mapa final'!#REF!),"")</f>
        <v>#REF!</v>
      </c>
      <c r="AG28" s="38" t="e">
        <f>IF(AND('Mapa final'!#REF!="Media",'Mapa final'!#REF!="Mayor"),CONCATENATE("R3C",'Mapa final'!#REF!),"")</f>
        <v>#REF!</v>
      </c>
      <c r="AH28" s="39" t="str">
        <f ca="1">IF(AND('Mapa final'!$AY$14="Media",'Mapa final'!$BA$14="Catastrófico"),CONCATENATE("R3C",'Mapa final'!$AL$14),"")</f>
        <v/>
      </c>
      <c r="AI28" s="40" t="e">
        <f>IF(AND('Mapa final'!#REF!="Media",'Mapa final'!#REF!="Catastrófico"),CONCATENATE("R3C",'Mapa final'!#REF!),"")</f>
        <v>#REF!</v>
      </c>
      <c r="AJ28" s="40" t="e">
        <f>IF(AND('Mapa final'!#REF!="Media",'Mapa final'!#REF!="Catastrófico"),CONCATENATE("R3C",'Mapa final'!#REF!),"")</f>
        <v>#REF!</v>
      </c>
      <c r="AK28" s="40" t="e">
        <f>IF(AND('Mapa final'!#REF!="Media",'Mapa final'!#REF!="Catastrófico"),CONCATENATE("R3C",'Mapa final'!#REF!),"")</f>
        <v>#REF!</v>
      </c>
      <c r="AL28" s="40" t="e">
        <f>IF(AND('Mapa final'!#REF!="Media",'Mapa final'!#REF!="Catastrófico"),CONCATENATE("R3C",'Mapa final'!#REF!),"")</f>
        <v>#REF!</v>
      </c>
      <c r="AM28" s="41" t="e">
        <f>IF(AND('Mapa final'!#REF!="Media",'Mapa final'!#REF!="Catastrófico"),CONCATENATE("R3C",'Mapa final'!#REF!),"")</f>
        <v>#REF!</v>
      </c>
      <c r="AN28" s="1"/>
      <c r="AO28" s="267"/>
      <c r="AP28" s="170"/>
      <c r="AQ28" s="170"/>
      <c r="AR28" s="170"/>
      <c r="AS28" s="170"/>
      <c r="AT28" s="268"/>
      <c r="AU28" s="1"/>
      <c r="AV28" s="1"/>
      <c r="AW28" s="1"/>
      <c r="AX28" s="1"/>
      <c r="AY28" s="1"/>
      <c r="AZ28" s="1"/>
      <c r="BA28" s="1"/>
      <c r="BB28" s="1"/>
      <c r="BC28" s="1"/>
      <c r="BD28" s="1"/>
      <c r="BE28" s="1"/>
      <c r="BF28" s="1"/>
      <c r="BG28" s="1"/>
      <c r="BH28" s="1"/>
      <c r="BI28" s="1"/>
    </row>
    <row r="29" spans="1:61" ht="15" customHeight="1" x14ac:dyDescent="0.25">
      <c r="A29" s="1"/>
      <c r="B29" s="258"/>
      <c r="C29" s="170"/>
      <c r="D29" s="171"/>
      <c r="E29" s="182"/>
      <c r="F29" s="170"/>
      <c r="G29" s="170"/>
      <c r="H29" s="170"/>
      <c r="I29" s="171"/>
      <c r="J29" s="51" t="str">
        <f ca="1">IF(AND('Mapa final'!$AY$15="Media",'Mapa final'!$BA$15="Leve"),CONCATENATE("R4C",'Mapa final'!$AL$15),"")</f>
        <v/>
      </c>
      <c r="K29" s="52" t="str">
        <f>IF(AND('Mapa final'!$AY$16="Media",'Mapa final'!$BA$16="Leve"),CONCATENATE("R4C",'Mapa final'!$AL$16),"")</f>
        <v/>
      </c>
      <c r="L29" s="52" t="str">
        <f>IF(AND('Mapa final'!$AY$17="Media",'Mapa final'!$BA$17="Leve"),CONCATENATE("R4C",'Mapa final'!$AL$17),"")</f>
        <v/>
      </c>
      <c r="M29" s="52" t="e">
        <f>IF(AND('Mapa final'!#REF!="Media",'Mapa final'!#REF!="Leve"),CONCATENATE("R4C",'Mapa final'!#REF!),"")</f>
        <v>#REF!</v>
      </c>
      <c r="N29" s="52" t="e">
        <f>IF(AND('Mapa final'!#REF!="Media",'Mapa final'!#REF!="Leve"),CONCATENATE("R4C",'Mapa final'!#REF!),"")</f>
        <v>#REF!</v>
      </c>
      <c r="O29" s="53" t="e">
        <f>IF(AND('Mapa final'!#REF!="Media",'Mapa final'!#REF!="Leve"),CONCATENATE("R4C",'Mapa final'!#REF!),"")</f>
        <v>#REF!</v>
      </c>
      <c r="P29" s="51" t="str">
        <f ca="1">IF(AND('Mapa final'!$AY$15="Media",'Mapa final'!$BA$15="Menor"),CONCATENATE("R4C",'Mapa final'!$AL$15),"")</f>
        <v/>
      </c>
      <c r="Q29" s="52" t="str">
        <f>IF(AND('Mapa final'!$AY$16="Media",'Mapa final'!$BA$16="Menor"),CONCATENATE("R4C",'Mapa final'!$AL$16),"")</f>
        <v/>
      </c>
      <c r="R29" s="52" t="str">
        <f>IF(AND('Mapa final'!$AY$17="Media",'Mapa final'!$BA$17="Menor"),CONCATENATE("R4C",'Mapa final'!$AL$17),"")</f>
        <v/>
      </c>
      <c r="S29" s="52" t="e">
        <f>IF(AND('Mapa final'!#REF!="Media",'Mapa final'!#REF!="Menor"),CONCATENATE("R4C",'Mapa final'!#REF!),"")</f>
        <v>#REF!</v>
      </c>
      <c r="T29" s="52" t="e">
        <f>IF(AND('Mapa final'!#REF!="Media",'Mapa final'!#REF!="Menor"),CONCATENATE("R4C",'Mapa final'!#REF!),"")</f>
        <v>#REF!</v>
      </c>
      <c r="U29" s="53" t="e">
        <f>IF(AND('Mapa final'!#REF!="Media",'Mapa final'!#REF!="Menor"),CONCATENATE("R4C",'Mapa final'!#REF!),"")</f>
        <v>#REF!</v>
      </c>
      <c r="V29" s="51" t="str">
        <f ca="1">IF(AND('Mapa final'!$AY$15="Media",'Mapa final'!$BA$15="Moderado"),CONCATENATE("R4C",'Mapa final'!$AL$15),"")</f>
        <v/>
      </c>
      <c r="W29" s="52" t="str">
        <f>IF(AND('Mapa final'!$AY$16="Media",'Mapa final'!$BA$16="Moderado"),CONCATENATE("R4C",'Mapa final'!$AL$16),"")</f>
        <v/>
      </c>
      <c r="X29" s="52" t="str">
        <f>IF(AND('Mapa final'!$AY$17="Media",'Mapa final'!$BA$17="Moderado"),CONCATENATE("R4C",'Mapa final'!$AL$17),"")</f>
        <v/>
      </c>
      <c r="Y29" s="52" t="e">
        <f>IF(AND('Mapa final'!#REF!="Media",'Mapa final'!#REF!="Moderado"),CONCATENATE("R4C",'Mapa final'!#REF!),"")</f>
        <v>#REF!</v>
      </c>
      <c r="Z29" s="52" t="e">
        <f>IF(AND('Mapa final'!#REF!="Media",'Mapa final'!#REF!="Moderado"),CONCATENATE("R4C",'Mapa final'!#REF!),"")</f>
        <v>#REF!</v>
      </c>
      <c r="AA29" s="53" t="e">
        <f>IF(AND('Mapa final'!#REF!="Media",'Mapa final'!#REF!="Moderado"),CONCATENATE("R4C",'Mapa final'!#REF!),"")</f>
        <v>#REF!</v>
      </c>
      <c r="AB29" s="36" t="str">
        <f ca="1">IF(AND('Mapa final'!$AY$15="Media",'Mapa final'!$BA$15="Mayor"),CONCATENATE("R4C",'Mapa final'!$AL$15),"")</f>
        <v/>
      </c>
      <c r="AC29" s="37" t="str">
        <f>IF(AND('Mapa final'!$AY$16="Media",'Mapa final'!$BA$16="Mayor"),CONCATENATE("R4C",'Mapa final'!$AL$16),"")</f>
        <v/>
      </c>
      <c r="AD29" s="37" t="str">
        <f>IF(AND('Mapa final'!$AY$17="Media",'Mapa final'!$BA$17="Mayor"),CONCATENATE("R4C",'Mapa final'!$AL$17),"")</f>
        <v/>
      </c>
      <c r="AE29" s="37" t="e">
        <f>IF(AND('Mapa final'!#REF!="Media",'Mapa final'!#REF!="Mayor"),CONCATENATE("R4C",'Mapa final'!#REF!),"")</f>
        <v>#REF!</v>
      </c>
      <c r="AF29" s="37" t="e">
        <f>IF(AND('Mapa final'!#REF!="Media",'Mapa final'!#REF!="Mayor"),CONCATENATE("R4C",'Mapa final'!#REF!),"")</f>
        <v>#REF!</v>
      </c>
      <c r="AG29" s="38" t="e">
        <f>IF(AND('Mapa final'!#REF!="Media",'Mapa final'!#REF!="Mayor"),CONCATENATE("R4C",'Mapa final'!#REF!),"")</f>
        <v>#REF!</v>
      </c>
      <c r="AH29" s="39" t="str">
        <f ca="1">IF(AND('Mapa final'!$AY$15="Media",'Mapa final'!$BA$15="Catastrófico"),CONCATENATE("R4C",'Mapa final'!$AL$15),"")</f>
        <v/>
      </c>
      <c r="AI29" s="40" t="str">
        <f>IF(AND('Mapa final'!$AY$16="Media",'Mapa final'!$BA$16="Catastrófico"),CONCATENATE("R4C",'Mapa final'!$AL$16),"")</f>
        <v/>
      </c>
      <c r="AJ29" s="40" t="str">
        <f>IF(AND('Mapa final'!$AY$17="Media",'Mapa final'!$BA$17="Catastrófico"),CONCATENATE("R4C",'Mapa final'!$AL$17),"")</f>
        <v/>
      </c>
      <c r="AK29" s="40" t="e">
        <f>IF(AND('Mapa final'!#REF!="Media",'Mapa final'!#REF!="Catastrófico"),CONCATENATE("R4C",'Mapa final'!#REF!),"")</f>
        <v>#REF!</v>
      </c>
      <c r="AL29" s="40" t="e">
        <f>IF(AND('Mapa final'!#REF!="Media",'Mapa final'!#REF!="Catastrófico"),CONCATENATE("R4C",'Mapa final'!#REF!),"")</f>
        <v>#REF!</v>
      </c>
      <c r="AM29" s="41" t="e">
        <f>IF(AND('Mapa final'!#REF!="Media",'Mapa final'!#REF!="Catastrófico"),CONCATENATE("R4C",'Mapa final'!#REF!),"")</f>
        <v>#REF!</v>
      </c>
      <c r="AN29" s="1"/>
      <c r="AO29" s="267"/>
      <c r="AP29" s="170"/>
      <c r="AQ29" s="170"/>
      <c r="AR29" s="170"/>
      <c r="AS29" s="170"/>
      <c r="AT29" s="268"/>
      <c r="AU29" s="1"/>
      <c r="AV29" s="1"/>
      <c r="AW29" s="1"/>
      <c r="AX29" s="1"/>
      <c r="AY29" s="1"/>
      <c r="AZ29" s="1"/>
      <c r="BA29" s="1"/>
      <c r="BB29" s="1"/>
      <c r="BC29" s="1"/>
      <c r="BD29" s="1"/>
      <c r="BE29" s="1"/>
      <c r="BF29" s="1"/>
      <c r="BG29" s="1"/>
      <c r="BH29" s="1"/>
      <c r="BI29" s="1"/>
    </row>
    <row r="30" spans="1:61" ht="15" customHeight="1" x14ac:dyDescent="0.25">
      <c r="A30" s="1"/>
      <c r="B30" s="258"/>
      <c r="C30" s="170"/>
      <c r="D30" s="171"/>
      <c r="E30" s="182"/>
      <c r="F30" s="170"/>
      <c r="G30" s="170"/>
      <c r="H30" s="170"/>
      <c r="I30" s="171"/>
      <c r="J30" s="51" t="str">
        <f ca="1">IF(AND('Mapa final'!$AY$18="Media",'Mapa final'!$BA$18="Leve"),CONCATENATE("R5C",'Mapa final'!$AL$18),"")</f>
        <v/>
      </c>
      <c r="K30" s="52" t="e">
        <f>IF(AND('Mapa final'!#REF!="Media",'Mapa final'!#REF!="Leve"),CONCATENATE("R5C",'Mapa final'!#REF!),"")</f>
        <v>#REF!</v>
      </c>
      <c r="L30" s="52" t="e">
        <f>IF(AND('Mapa final'!#REF!="Media",'Mapa final'!#REF!="Leve"),CONCATENATE("R5C",'Mapa final'!#REF!),"")</f>
        <v>#REF!</v>
      </c>
      <c r="M30" s="52" t="e">
        <f>IF(AND('Mapa final'!#REF!="Media",'Mapa final'!#REF!="Leve"),CONCATENATE("R5C",'Mapa final'!#REF!),"")</f>
        <v>#REF!</v>
      </c>
      <c r="N30" s="52" t="e">
        <f>IF(AND('Mapa final'!#REF!="Media",'Mapa final'!#REF!="Leve"),CONCATENATE("R5C",'Mapa final'!#REF!),"")</f>
        <v>#REF!</v>
      </c>
      <c r="O30" s="53" t="e">
        <f>IF(AND('Mapa final'!#REF!="Media",'Mapa final'!#REF!="Leve"),CONCATENATE("R5C",'Mapa final'!#REF!),"")</f>
        <v>#REF!</v>
      </c>
      <c r="P30" s="51" t="str">
        <f ca="1">IF(AND('Mapa final'!$AY$18="Media",'Mapa final'!$BA$18="Menor"),CONCATENATE("R5C",'Mapa final'!$AL$18),"")</f>
        <v/>
      </c>
      <c r="Q30" s="52" t="e">
        <f>IF(AND('Mapa final'!#REF!="Media",'Mapa final'!#REF!="Menor"),CONCATENATE("R5C",'Mapa final'!#REF!),"")</f>
        <v>#REF!</v>
      </c>
      <c r="R30" s="52" t="e">
        <f>IF(AND('Mapa final'!#REF!="Media",'Mapa final'!#REF!="Menor"),CONCATENATE("R5C",'Mapa final'!#REF!),"")</f>
        <v>#REF!</v>
      </c>
      <c r="S30" s="52" t="e">
        <f>IF(AND('Mapa final'!#REF!="Media",'Mapa final'!#REF!="Menor"),CONCATENATE("R5C",'Mapa final'!#REF!),"")</f>
        <v>#REF!</v>
      </c>
      <c r="T30" s="52" t="e">
        <f>IF(AND('Mapa final'!#REF!="Media",'Mapa final'!#REF!="Menor"),CONCATENATE("R5C",'Mapa final'!#REF!),"")</f>
        <v>#REF!</v>
      </c>
      <c r="U30" s="53" t="e">
        <f>IF(AND('Mapa final'!#REF!="Media",'Mapa final'!#REF!="Menor"),CONCATENATE("R5C",'Mapa final'!#REF!),"")</f>
        <v>#REF!</v>
      </c>
      <c r="V30" s="51" t="str">
        <f ca="1">IF(AND('Mapa final'!$AY$18="Media",'Mapa final'!$BA$18="Moderado"),CONCATENATE("R5C",'Mapa final'!$AL$18),"")</f>
        <v/>
      </c>
      <c r="W30" s="52" t="e">
        <f>IF(AND('Mapa final'!#REF!="Media",'Mapa final'!#REF!="Moderado"),CONCATENATE("R5C",'Mapa final'!#REF!),"")</f>
        <v>#REF!</v>
      </c>
      <c r="X30" s="52" t="e">
        <f>IF(AND('Mapa final'!#REF!="Media",'Mapa final'!#REF!="Moderado"),CONCATENATE("R5C",'Mapa final'!#REF!),"")</f>
        <v>#REF!</v>
      </c>
      <c r="Y30" s="52" t="e">
        <f>IF(AND('Mapa final'!#REF!="Media",'Mapa final'!#REF!="Moderado"),CONCATENATE("R5C",'Mapa final'!#REF!),"")</f>
        <v>#REF!</v>
      </c>
      <c r="Z30" s="52" t="e">
        <f>IF(AND('Mapa final'!#REF!="Media",'Mapa final'!#REF!="Moderado"),CONCATENATE("R5C",'Mapa final'!#REF!),"")</f>
        <v>#REF!</v>
      </c>
      <c r="AA30" s="53" t="e">
        <f>IF(AND('Mapa final'!#REF!="Media",'Mapa final'!#REF!="Moderado"),CONCATENATE("R5C",'Mapa final'!#REF!),"")</f>
        <v>#REF!</v>
      </c>
      <c r="AB30" s="36" t="str">
        <f ca="1">IF(AND('Mapa final'!$AY$18="Media",'Mapa final'!$BA$18="Mayor"),CONCATENATE("R5C",'Mapa final'!$AL$18),"")</f>
        <v/>
      </c>
      <c r="AC30" s="37" t="e">
        <f>IF(AND('Mapa final'!#REF!="Media",'Mapa final'!#REF!="Mayor"),CONCATENATE("R5C",'Mapa final'!#REF!),"")</f>
        <v>#REF!</v>
      </c>
      <c r="AD30" s="37" t="e">
        <f>IF(AND('Mapa final'!#REF!="Media",'Mapa final'!#REF!="Mayor"),CONCATENATE("R5C",'Mapa final'!#REF!),"")</f>
        <v>#REF!</v>
      </c>
      <c r="AE30" s="37" t="e">
        <f>IF(AND('Mapa final'!#REF!="Media",'Mapa final'!#REF!="Mayor"),CONCATENATE("R5C",'Mapa final'!#REF!),"")</f>
        <v>#REF!</v>
      </c>
      <c r="AF30" s="37" t="e">
        <f>IF(AND('Mapa final'!#REF!="Media",'Mapa final'!#REF!="Mayor"),CONCATENATE("R5C",'Mapa final'!#REF!),"")</f>
        <v>#REF!</v>
      </c>
      <c r="AG30" s="38" t="e">
        <f>IF(AND('Mapa final'!#REF!="Media",'Mapa final'!#REF!="Mayor"),CONCATENATE("R5C",'Mapa final'!#REF!),"")</f>
        <v>#REF!</v>
      </c>
      <c r="AH30" s="39" t="str">
        <f ca="1">IF(AND('Mapa final'!$AY$18="Media",'Mapa final'!$BA$18="Catastrófico"),CONCATENATE("R5C",'Mapa final'!$AL$18),"")</f>
        <v/>
      </c>
      <c r="AI30" s="40" t="e">
        <f>IF(AND('Mapa final'!#REF!="Media",'Mapa final'!#REF!="Catastrófico"),CONCATENATE("R5C",'Mapa final'!#REF!),"")</f>
        <v>#REF!</v>
      </c>
      <c r="AJ30" s="40" t="e">
        <f>IF(AND('Mapa final'!#REF!="Media",'Mapa final'!#REF!="Catastrófico"),CONCATENATE("R5C",'Mapa final'!#REF!),"")</f>
        <v>#REF!</v>
      </c>
      <c r="AK30" s="40" t="e">
        <f>IF(AND('Mapa final'!#REF!="Media",'Mapa final'!#REF!="Catastrófico"),CONCATENATE("R5C",'Mapa final'!#REF!),"")</f>
        <v>#REF!</v>
      </c>
      <c r="AL30" s="40" t="e">
        <f>IF(AND('Mapa final'!#REF!="Media",'Mapa final'!#REF!="Catastrófico"),CONCATENATE("R5C",'Mapa final'!#REF!),"")</f>
        <v>#REF!</v>
      </c>
      <c r="AM30" s="41" t="e">
        <f>IF(AND('Mapa final'!#REF!="Media",'Mapa final'!#REF!="Catastrófico"),CONCATENATE("R5C",'Mapa final'!#REF!),"")</f>
        <v>#REF!</v>
      </c>
      <c r="AN30" s="1"/>
      <c r="AO30" s="267"/>
      <c r="AP30" s="170"/>
      <c r="AQ30" s="170"/>
      <c r="AR30" s="170"/>
      <c r="AS30" s="170"/>
      <c r="AT30" s="268"/>
      <c r="AU30" s="1"/>
      <c r="AV30" s="1"/>
      <c r="AW30" s="1"/>
      <c r="AX30" s="1"/>
      <c r="AY30" s="1"/>
      <c r="AZ30" s="1"/>
      <c r="BA30" s="1"/>
      <c r="BB30" s="1"/>
      <c r="BC30" s="1"/>
      <c r="BD30" s="1"/>
      <c r="BE30" s="1"/>
      <c r="BF30" s="1"/>
      <c r="BG30" s="1"/>
      <c r="BH30" s="1"/>
      <c r="BI30" s="1"/>
    </row>
    <row r="31" spans="1:61" ht="15" customHeight="1" x14ac:dyDescent="0.25">
      <c r="A31" s="1"/>
      <c r="B31" s="258"/>
      <c r="C31" s="170"/>
      <c r="D31" s="171"/>
      <c r="E31" s="182"/>
      <c r="F31" s="170"/>
      <c r="G31" s="170"/>
      <c r="H31" s="170"/>
      <c r="I31" s="171"/>
      <c r="J31" s="51" t="str">
        <f ca="1">IF(AND('Mapa final'!$AY$19="Media",'Mapa final'!$BA$19="Leve"),CONCATENATE("R6C",'Mapa final'!$AL$19),"")</f>
        <v/>
      </c>
      <c r="K31" s="52" t="str">
        <f ca="1">IF(AND('Mapa final'!$AY$20="Media",'Mapa final'!$BA$20="Leve"),CONCATENATE("R6C",'Mapa final'!$AL$20),"")</f>
        <v/>
      </c>
      <c r="L31" s="52" t="e">
        <f>IF(AND('Mapa final'!#REF!="Media",'Mapa final'!#REF!="Leve"),CONCATENATE("R6C",'Mapa final'!#REF!),"")</f>
        <v>#REF!</v>
      </c>
      <c r="M31" s="52" t="e">
        <f>IF(AND('Mapa final'!#REF!="Media",'Mapa final'!#REF!="Leve"),CONCATENATE("R6C",'Mapa final'!#REF!),"")</f>
        <v>#REF!</v>
      </c>
      <c r="N31" s="52" t="e">
        <f>IF(AND('Mapa final'!#REF!="Media",'Mapa final'!#REF!="Leve"),CONCATENATE("R6C",'Mapa final'!#REF!),"")</f>
        <v>#REF!</v>
      </c>
      <c r="O31" s="53" t="e">
        <f>IF(AND('Mapa final'!#REF!="Media",'Mapa final'!#REF!="Leve"),CONCATENATE("R6C",'Mapa final'!#REF!),"")</f>
        <v>#REF!</v>
      </c>
      <c r="P31" s="51" t="str">
        <f ca="1">IF(AND('Mapa final'!$AY$19="Media",'Mapa final'!$BA$19="Menor"),CONCATENATE("R6C",'Mapa final'!$AL$19),"")</f>
        <v/>
      </c>
      <c r="Q31" s="52" t="str">
        <f ca="1">IF(AND('Mapa final'!$AY$20="Media",'Mapa final'!$BA$20="Menor"),CONCATENATE("R6C",'Mapa final'!$AL$20),"")</f>
        <v/>
      </c>
      <c r="R31" s="52" t="e">
        <f>IF(AND('Mapa final'!#REF!="Media",'Mapa final'!#REF!="Menor"),CONCATENATE("R6C",'Mapa final'!#REF!),"")</f>
        <v>#REF!</v>
      </c>
      <c r="S31" s="52" t="e">
        <f>IF(AND('Mapa final'!#REF!="Media",'Mapa final'!#REF!="Menor"),CONCATENATE("R6C",'Mapa final'!#REF!),"")</f>
        <v>#REF!</v>
      </c>
      <c r="T31" s="52" t="e">
        <f>IF(AND('Mapa final'!#REF!="Media",'Mapa final'!#REF!="Menor"),CONCATENATE("R6C",'Mapa final'!#REF!),"")</f>
        <v>#REF!</v>
      </c>
      <c r="U31" s="53" t="e">
        <f>IF(AND('Mapa final'!#REF!="Media",'Mapa final'!#REF!="Menor"),CONCATENATE("R6C",'Mapa final'!#REF!),"")</f>
        <v>#REF!</v>
      </c>
      <c r="V31" s="51" t="str">
        <f ca="1">IF(AND('Mapa final'!$AY$19="Media",'Mapa final'!$BA$19="Moderado"),CONCATENATE("R6C",'Mapa final'!$AL$19),"")</f>
        <v/>
      </c>
      <c r="W31" s="52" t="str">
        <f ca="1">IF(AND('Mapa final'!$AY$20="Media",'Mapa final'!$BA$20="Moderado"),CONCATENATE("R6C",'Mapa final'!$AL$20),"")</f>
        <v/>
      </c>
      <c r="X31" s="52" t="e">
        <f>IF(AND('Mapa final'!#REF!="Media",'Mapa final'!#REF!="Moderado"),CONCATENATE("R6C",'Mapa final'!#REF!),"")</f>
        <v>#REF!</v>
      </c>
      <c r="Y31" s="52" t="e">
        <f>IF(AND('Mapa final'!#REF!="Media",'Mapa final'!#REF!="Moderado"),CONCATENATE("R6C",'Mapa final'!#REF!),"")</f>
        <v>#REF!</v>
      </c>
      <c r="Z31" s="52" t="e">
        <f>IF(AND('Mapa final'!#REF!="Media",'Mapa final'!#REF!="Moderado"),CONCATENATE("R6C",'Mapa final'!#REF!),"")</f>
        <v>#REF!</v>
      </c>
      <c r="AA31" s="53" t="e">
        <f>IF(AND('Mapa final'!#REF!="Media",'Mapa final'!#REF!="Moderado"),CONCATENATE("R6C",'Mapa final'!#REF!),"")</f>
        <v>#REF!</v>
      </c>
      <c r="AB31" s="36" t="str">
        <f ca="1">IF(AND('Mapa final'!$AY$19="Media",'Mapa final'!$BA$19="Mayor"),CONCATENATE("R6C",'Mapa final'!$AL$19),"")</f>
        <v/>
      </c>
      <c r="AC31" s="37" t="str">
        <f ca="1">IF(AND('Mapa final'!$AY$20="Media",'Mapa final'!$BA$20="Mayor"),CONCATENATE("R6C",'Mapa final'!$AL$20),"")</f>
        <v/>
      </c>
      <c r="AD31" s="37" t="e">
        <f>IF(AND('Mapa final'!#REF!="Media",'Mapa final'!#REF!="Mayor"),CONCATENATE("R6C",'Mapa final'!#REF!),"")</f>
        <v>#REF!</v>
      </c>
      <c r="AE31" s="37" t="e">
        <f>IF(AND('Mapa final'!#REF!="Media",'Mapa final'!#REF!="Mayor"),CONCATENATE("R6C",'Mapa final'!#REF!),"")</f>
        <v>#REF!</v>
      </c>
      <c r="AF31" s="37" t="e">
        <f>IF(AND('Mapa final'!#REF!="Media",'Mapa final'!#REF!="Mayor"),CONCATENATE("R6C",'Mapa final'!#REF!),"")</f>
        <v>#REF!</v>
      </c>
      <c r="AG31" s="38" t="e">
        <f>IF(AND('Mapa final'!#REF!="Media",'Mapa final'!#REF!="Mayor"),CONCATENATE("R6C",'Mapa final'!#REF!),"")</f>
        <v>#REF!</v>
      </c>
      <c r="AH31" s="39" t="str">
        <f ca="1">IF(AND('Mapa final'!$AY$19="Media",'Mapa final'!$BA$19="Catastrófico"),CONCATENATE("R6C",'Mapa final'!$AL$19),"")</f>
        <v/>
      </c>
      <c r="AI31" s="40" t="str">
        <f ca="1">IF(AND('Mapa final'!$AY$20="Media",'Mapa final'!$BA$20="Catastrófico"),CONCATENATE("R6C",'Mapa final'!$AL$20),"")</f>
        <v/>
      </c>
      <c r="AJ31" s="40" t="e">
        <f>IF(AND('Mapa final'!#REF!="Media",'Mapa final'!#REF!="Catastrófico"),CONCATENATE("R6C",'Mapa final'!#REF!),"")</f>
        <v>#REF!</v>
      </c>
      <c r="AK31" s="40" t="e">
        <f>IF(AND('Mapa final'!#REF!="Media",'Mapa final'!#REF!="Catastrófico"),CONCATENATE("R6C",'Mapa final'!#REF!),"")</f>
        <v>#REF!</v>
      </c>
      <c r="AL31" s="40" t="e">
        <f>IF(AND('Mapa final'!#REF!="Media",'Mapa final'!#REF!="Catastrófico"),CONCATENATE("R6C",'Mapa final'!#REF!),"")</f>
        <v>#REF!</v>
      </c>
      <c r="AM31" s="41" t="e">
        <f>IF(AND('Mapa final'!#REF!="Media",'Mapa final'!#REF!="Catastrófico"),CONCATENATE("R6C",'Mapa final'!#REF!),"")</f>
        <v>#REF!</v>
      </c>
      <c r="AN31" s="1"/>
      <c r="AO31" s="267"/>
      <c r="AP31" s="170"/>
      <c r="AQ31" s="170"/>
      <c r="AR31" s="170"/>
      <c r="AS31" s="170"/>
      <c r="AT31" s="268"/>
      <c r="AU31" s="1"/>
      <c r="AV31" s="1"/>
      <c r="AW31" s="1"/>
      <c r="AX31" s="1"/>
      <c r="AY31" s="1"/>
      <c r="AZ31" s="1"/>
      <c r="BA31" s="1"/>
      <c r="BB31" s="1"/>
      <c r="BC31" s="1"/>
      <c r="BD31" s="1"/>
      <c r="BE31" s="1"/>
      <c r="BF31" s="1"/>
      <c r="BG31" s="1"/>
      <c r="BH31" s="1"/>
      <c r="BI31" s="1"/>
    </row>
    <row r="32" spans="1:61" ht="15" customHeight="1" x14ac:dyDescent="0.25">
      <c r="A32" s="1"/>
      <c r="B32" s="258"/>
      <c r="C32" s="170"/>
      <c r="D32" s="171"/>
      <c r="E32" s="182"/>
      <c r="F32" s="170"/>
      <c r="G32" s="170"/>
      <c r="H32" s="170"/>
      <c r="I32" s="171"/>
      <c r="J32" s="51" t="str">
        <f ca="1">IF(AND('Mapa final'!$AY$21="Media",'Mapa final'!$BA$21="Leve"),CONCATENATE("R7C",'Mapa final'!$AL$21),"")</f>
        <v/>
      </c>
      <c r="K32" s="52" t="str">
        <f ca="1">IF(AND('Mapa final'!$AY$22="Media",'Mapa final'!$BA$22="Leve"),CONCATENATE("R7C",'Mapa final'!$AL$22),"")</f>
        <v/>
      </c>
      <c r="L32" s="52" t="e">
        <f>IF(AND('Mapa final'!#REF!="Media",'Mapa final'!#REF!="Leve"),CONCATENATE("R7C",'Mapa final'!#REF!),"")</f>
        <v>#REF!</v>
      </c>
      <c r="M32" s="52" t="e">
        <f>IF(AND('Mapa final'!#REF!="Media",'Mapa final'!#REF!="Leve"),CONCATENATE("R7C",'Mapa final'!#REF!),"")</f>
        <v>#REF!</v>
      </c>
      <c r="N32" s="52" t="e">
        <f>IF(AND('Mapa final'!#REF!="Media",'Mapa final'!#REF!="Leve"),CONCATENATE("R7C",'Mapa final'!#REF!),"")</f>
        <v>#REF!</v>
      </c>
      <c r="O32" s="53" t="e">
        <f>IF(AND('Mapa final'!#REF!="Media",'Mapa final'!#REF!="Leve"),CONCATENATE("R7C",'Mapa final'!#REF!),"")</f>
        <v>#REF!</v>
      </c>
      <c r="P32" s="51" t="str">
        <f ca="1">IF(AND('Mapa final'!$AY$21="Media",'Mapa final'!$BA$21="Menor"),CONCATENATE("R7C",'Mapa final'!$AL$21),"")</f>
        <v/>
      </c>
      <c r="Q32" s="52" t="str">
        <f ca="1">IF(AND('Mapa final'!$AY$22="Media",'Mapa final'!$BA$22="Menor"),CONCATENATE("R7C",'Mapa final'!$AL$22),"")</f>
        <v/>
      </c>
      <c r="R32" s="52" t="e">
        <f>IF(AND('Mapa final'!#REF!="Media",'Mapa final'!#REF!="Menor"),CONCATENATE("R7C",'Mapa final'!#REF!),"")</f>
        <v>#REF!</v>
      </c>
      <c r="S32" s="52" t="e">
        <f>IF(AND('Mapa final'!#REF!="Media",'Mapa final'!#REF!="Menor"),CONCATENATE("R7C",'Mapa final'!#REF!),"")</f>
        <v>#REF!</v>
      </c>
      <c r="T32" s="52" t="e">
        <f>IF(AND('Mapa final'!#REF!="Media",'Mapa final'!#REF!="Menor"),CONCATENATE("R7C",'Mapa final'!#REF!),"")</f>
        <v>#REF!</v>
      </c>
      <c r="U32" s="53" t="e">
        <f>IF(AND('Mapa final'!#REF!="Media",'Mapa final'!#REF!="Menor"),CONCATENATE("R7C",'Mapa final'!#REF!),"")</f>
        <v>#REF!</v>
      </c>
      <c r="V32" s="51" t="str">
        <f ca="1">IF(AND('Mapa final'!$AY$21="Media",'Mapa final'!$BA$21="Moderado"),CONCATENATE("R7C",'Mapa final'!$AL$21),"")</f>
        <v/>
      </c>
      <c r="W32" s="52" t="str">
        <f ca="1">IF(AND('Mapa final'!$AY$22="Media",'Mapa final'!$BA$22="Moderado"),CONCATENATE("R7C",'Mapa final'!$AL$22),"")</f>
        <v/>
      </c>
      <c r="X32" s="52" t="e">
        <f>IF(AND('Mapa final'!#REF!="Media",'Mapa final'!#REF!="Moderado"),CONCATENATE("R7C",'Mapa final'!#REF!),"")</f>
        <v>#REF!</v>
      </c>
      <c r="Y32" s="52" t="e">
        <f>IF(AND('Mapa final'!#REF!="Media",'Mapa final'!#REF!="Moderado"),CONCATENATE("R7C",'Mapa final'!#REF!),"")</f>
        <v>#REF!</v>
      </c>
      <c r="Z32" s="52" t="e">
        <f>IF(AND('Mapa final'!#REF!="Media",'Mapa final'!#REF!="Moderado"),CONCATENATE("R7C",'Mapa final'!#REF!),"")</f>
        <v>#REF!</v>
      </c>
      <c r="AA32" s="53" t="e">
        <f>IF(AND('Mapa final'!#REF!="Media",'Mapa final'!#REF!="Moderado"),CONCATENATE("R7C",'Mapa final'!#REF!),"")</f>
        <v>#REF!</v>
      </c>
      <c r="AB32" s="36" t="str">
        <f ca="1">IF(AND('Mapa final'!$AY$21="Media",'Mapa final'!$BA$21="Mayor"),CONCATENATE("R7C",'Mapa final'!$AL$21),"")</f>
        <v/>
      </c>
      <c r="AC32" s="37" t="str">
        <f ca="1">IF(AND('Mapa final'!$AY$22="Media",'Mapa final'!$BA$22="Mayor"),CONCATENATE("R7C",'Mapa final'!$AL$22),"")</f>
        <v/>
      </c>
      <c r="AD32" s="37" t="e">
        <f>IF(AND('Mapa final'!#REF!="Media",'Mapa final'!#REF!="Mayor"),CONCATENATE("R7C",'Mapa final'!#REF!),"")</f>
        <v>#REF!</v>
      </c>
      <c r="AE32" s="37" t="e">
        <f>IF(AND('Mapa final'!#REF!="Media",'Mapa final'!#REF!="Mayor"),CONCATENATE("R7C",'Mapa final'!#REF!),"")</f>
        <v>#REF!</v>
      </c>
      <c r="AF32" s="37" t="e">
        <f>IF(AND('Mapa final'!#REF!="Media",'Mapa final'!#REF!="Mayor"),CONCATENATE("R7C",'Mapa final'!#REF!),"")</f>
        <v>#REF!</v>
      </c>
      <c r="AG32" s="38" t="e">
        <f>IF(AND('Mapa final'!#REF!="Media",'Mapa final'!#REF!="Mayor"),CONCATENATE("R7C",'Mapa final'!#REF!),"")</f>
        <v>#REF!</v>
      </c>
      <c r="AH32" s="39" t="str">
        <f ca="1">IF(AND('Mapa final'!$AY$21="Media",'Mapa final'!$BA$21="Catastrófico"),CONCATENATE("R7C",'Mapa final'!$AL$21),"")</f>
        <v/>
      </c>
      <c r="AI32" s="40" t="str">
        <f ca="1">IF(AND('Mapa final'!$AY$22="Media",'Mapa final'!$BA$22="Catastrófico"),CONCATENATE("R7C",'Mapa final'!$AL$22),"")</f>
        <v/>
      </c>
      <c r="AJ32" s="40" t="e">
        <f>IF(AND('Mapa final'!#REF!="Media",'Mapa final'!#REF!="Catastrófico"),CONCATENATE("R7C",'Mapa final'!#REF!),"")</f>
        <v>#REF!</v>
      </c>
      <c r="AK32" s="40" t="e">
        <f>IF(AND('Mapa final'!#REF!="Media",'Mapa final'!#REF!="Catastrófico"),CONCATENATE("R7C",'Mapa final'!#REF!),"")</f>
        <v>#REF!</v>
      </c>
      <c r="AL32" s="40" t="e">
        <f>IF(AND('Mapa final'!#REF!="Media",'Mapa final'!#REF!="Catastrófico"),CONCATENATE("R7C",'Mapa final'!#REF!),"")</f>
        <v>#REF!</v>
      </c>
      <c r="AM32" s="41" t="e">
        <f>IF(AND('Mapa final'!#REF!="Media",'Mapa final'!#REF!="Catastrófico"),CONCATENATE("R7C",'Mapa final'!#REF!),"")</f>
        <v>#REF!</v>
      </c>
      <c r="AN32" s="1"/>
      <c r="AO32" s="267"/>
      <c r="AP32" s="170"/>
      <c r="AQ32" s="170"/>
      <c r="AR32" s="170"/>
      <c r="AS32" s="170"/>
      <c r="AT32" s="268"/>
      <c r="AU32" s="1"/>
      <c r="AV32" s="1"/>
      <c r="AW32" s="1"/>
      <c r="AX32" s="1"/>
      <c r="AY32" s="1"/>
      <c r="AZ32" s="1"/>
      <c r="BA32" s="1"/>
      <c r="BB32" s="1"/>
      <c r="BC32" s="1"/>
      <c r="BD32" s="1"/>
      <c r="BE32" s="1"/>
      <c r="BF32" s="1"/>
      <c r="BG32" s="1"/>
      <c r="BH32" s="1"/>
      <c r="BI32" s="1"/>
    </row>
    <row r="33" spans="1:61" ht="15" customHeight="1" x14ac:dyDescent="0.25">
      <c r="A33" s="1"/>
      <c r="B33" s="258"/>
      <c r="C33" s="170"/>
      <c r="D33" s="171"/>
      <c r="E33" s="182"/>
      <c r="F33" s="170"/>
      <c r="G33" s="170"/>
      <c r="H33" s="170"/>
      <c r="I33" s="171"/>
      <c r="J33" s="51" t="str">
        <f ca="1">IF(AND('Mapa final'!$AY$23="Media",'Mapa final'!$BA$23="Leve"),CONCATENATE("R8C",'Mapa final'!$AL$23),"")</f>
        <v/>
      </c>
      <c r="K33" s="52" t="e">
        <f>IF(AND('Mapa final'!#REF!="Media",'Mapa final'!#REF!="Leve"),CONCATENATE("R8C",'Mapa final'!#REF!),"")</f>
        <v>#REF!</v>
      </c>
      <c r="L33" s="52" t="e">
        <f>IF(AND('Mapa final'!#REF!="Media",'Mapa final'!#REF!="Leve"),CONCATENATE("R8C",'Mapa final'!#REF!),"")</f>
        <v>#REF!</v>
      </c>
      <c r="M33" s="52" t="e">
        <f>IF(AND('Mapa final'!#REF!="Media",'Mapa final'!#REF!="Leve"),CONCATENATE("R8C",'Mapa final'!#REF!),"")</f>
        <v>#REF!</v>
      </c>
      <c r="N33" s="52" t="e">
        <f>IF(AND('Mapa final'!#REF!="Media",'Mapa final'!#REF!="Leve"),CONCATENATE("R8C",'Mapa final'!#REF!),"")</f>
        <v>#REF!</v>
      </c>
      <c r="O33" s="53" t="e">
        <f>IF(AND('Mapa final'!#REF!="Media",'Mapa final'!#REF!="Leve"),CONCATENATE("R8C",'Mapa final'!#REF!),"")</f>
        <v>#REF!</v>
      </c>
      <c r="P33" s="51" t="str">
        <f ca="1">IF(AND('Mapa final'!$AY$23="Media",'Mapa final'!$BA$23="Menor"),CONCATENATE("R8C",'Mapa final'!$AL$23),"")</f>
        <v/>
      </c>
      <c r="Q33" s="52" t="e">
        <f>IF(AND('Mapa final'!#REF!="Media",'Mapa final'!#REF!="Menor"),CONCATENATE("R8C",'Mapa final'!#REF!),"")</f>
        <v>#REF!</v>
      </c>
      <c r="R33" s="52" t="e">
        <f>IF(AND('Mapa final'!#REF!="Media",'Mapa final'!#REF!="Menor"),CONCATENATE("R8C",'Mapa final'!#REF!),"")</f>
        <v>#REF!</v>
      </c>
      <c r="S33" s="52" t="e">
        <f>IF(AND('Mapa final'!#REF!="Media",'Mapa final'!#REF!="Menor"),CONCATENATE("R8C",'Mapa final'!#REF!),"")</f>
        <v>#REF!</v>
      </c>
      <c r="T33" s="52" t="e">
        <f>IF(AND('Mapa final'!#REF!="Media",'Mapa final'!#REF!="Menor"),CONCATENATE("R8C",'Mapa final'!#REF!),"")</f>
        <v>#REF!</v>
      </c>
      <c r="U33" s="53" t="e">
        <f>IF(AND('Mapa final'!#REF!="Media",'Mapa final'!#REF!="Menor"),CONCATENATE("R8C",'Mapa final'!#REF!),"")</f>
        <v>#REF!</v>
      </c>
      <c r="V33" s="51" t="str">
        <f ca="1">IF(AND('Mapa final'!$AY$23="Media",'Mapa final'!$BA$23="Moderado"),CONCATENATE("R8C",'Mapa final'!$AL$23),"")</f>
        <v/>
      </c>
      <c r="W33" s="52" t="e">
        <f>IF(AND('Mapa final'!#REF!="Media",'Mapa final'!#REF!="Moderado"),CONCATENATE("R8C",'Mapa final'!#REF!),"")</f>
        <v>#REF!</v>
      </c>
      <c r="X33" s="52" t="e">
        <f>IF(AND('Mapa final'!#REF!="Media",'Mapa final'!#REF!="Moderado"),CONCATENATE("R8C",'Mapa final'!#REF!),"")</f>
        <v>#REF!</v>
      </c>
      <c r="Y33" s="52" t="e">
        <f>IF(AND('Mapa final'!#REF!="Media",'Mapa final'!#REF!="Moderado"),CONCATENATE("R8C",'Mapa final'!#REF!),"")</f>
        <v>#REF!</v>
      </c>
      <c r="Z33" s="52" t="e">
        <f>IF(AND('Mapa final'!#REF!="Media",'Mapa final'!#REF!="Moderado"),CONCATENATE("R8C",'Mapa final'!#REF!),"")</f>
        <v>#REF!</v>
      </c>
      <c r="AA33" s="53" t="e">
        <f>IF(AND('Mapa final'!#REF!="Media",'Mapa final'!#REF!="Moderado"),CONCATENATE("R8C",'Mapa final'!#REF!),"")</f>
        <v>#REF!</v>
      </c>
      <c r="AB33" s="36" t="str">
        <f ca="1">IF(AND('Mapa final'!$AY$23="Media",'Mapa final'!$BA$23="Mayor"),CONCATENATE("R8C",'Mapa final'!$AL$23),"")</f>
        <v/>
      </c>
      <c r="AC33" s="37" t="e">
        <f>IF(AND('Mapa final'!#REF!="Media",'Mapa final'!#REF!="Mayor"),CONCATENATE("R8C",'Mapa final'!#REF!),"")</f>
        <v>#REF!</v>
      </c>
      <c r="AD33" s="37" t="e">
        <f>IF(AND('Mapa final'!#REF!="Media",'Mapa final'!#REF!="Mayor"),CONCATENATE("R8C",'Mapa final'!#REF!),"")</f>
        <v>#REF!</v>
      </c>
      <c r="AE33" s="37" t="e">
        <f>IF(AND('Mapa final'!#REF!="Media",'Mapa final'!#REF!="Mayor"),CONCATENATE("R8C",'Mapa final'!#REF!),"")</f>
        <v>#REF!</v>
      </c>
      <c r="AF33" s="37" t="e">
        <f>IF(AND('Mapa final'!#REF!="Media",'Mapa final'!#REF!="Mayor"),CONCATENATE("R8C",'Mapa final'!#REF!),"")</f>
        <v>#REF!</v>
      </c>
      <c r="AG33" s="38" t="e">
        <f>IF(AND('Mapa final'!#REF!="Media",'Mapa final'!#REF!="Mayor"),CONCATENATE("R8C",'Mapa final'!#REF!),"")</f>
        <v>#REF!</v>
      </c>
      <c r="AH33" s="39" t="str">
        <f ca="1">IF(AND('Mapa final'!$AY$23="Media",'Mapa final'!$BA$23="Catastrófico"),CONCATENATE("R8C",'Mapa final'!$AL$23),"")</f>
        <v/>
      </c>
      <c r="AI33" s="40" t="e">
        <f>IF(AND('Mapa final'!#REF!="Media",'Mapa final'!#REF!="Catastrófico"),CONCATENATE("R8C",'Mapa final'!#REF!),"")</f>
        <v>#REF!</v>
      </c>
      <c r="AJ33" s="40" t="e">
        <f>IF(AND('Mapa final'!#REF!="Media",'Mapa final'!#REF!="Catastrófico"),CONCATENATE("R8C",'Mapa final'!#REF!),"")</f>
        <v>#REF!</v>
      </c>
      <c r="AK33" s="40" t="e">
        <f>IF(AND('Mapa final'!#REF!="Media",'Mapa final'!#REF!="Catastrófico"),CONCATENATE("R8C",'Mapa final'!#REF!),"")</f>
        <v>#REF!</v>
      </c>
      <c r="AL33" s="40" t="e">
        <f>IF(AND('Mapa final'!#REF!="Media",'Mapa final'!#REF!="Catastrófico"),CONCATENATE("R8C",'Mapa final'!#REF!),"")</f>
        <v>#REF!</v>
      </c>
      <c r="AM33" s="41" t="e">
        <f>IF(AND('Mapa final'!#REF!="Media",'Mapa final'!#REF!="Catastrófico"),CONCATENATE("R8C",'Mapa final'!#REF!),"")</f>
        <v>#REF!</v>
      </c>
      <c r="AN33" s="1"/>
      <c r="AO33" s="267"/>
      <c r="AP33" s="170"/>
      <c r="AQ33" s="170"/>
      <c r="AR33" s="170"/>
      <c r="AS33" s="170"/>
      <c r="AT33" s="268"/>
      <c r="AU33" s="1"/>
      <c r="AV33" s="1"/>
      <c r="AW33" s="1"/>
      <c r="AX33" s="1"/>
      <c r="AY33" s="1"/>
      <c r="AZ33" s="1"/>
      <c r="BA33" s="1"/>
      <c r="BB33" s="1"/>
      <c r="BC33" s="1"/>
      <c r="BD33" s="1"/>
      <c r="BE33" s="1"/>
      <c r="BF33" s="1"/>
      <c r="BG33" s="1"/>
      <c r="BH33" s="1"/>
      <c r="BI33" s="1"/>
    </row>
    <row r="34" spans="1:61" ht="15" customHeight="1" x14ac:dyDescent="0.25">
      <c r="A34" s="1"/>
      <c r="B34" s="258"/>
      <c r="C34" s="170"/>
      <c r="D34" s="171"/>
      <c r="E34" s="182"/>
      <c r="F34" s="170"/>
      <c r="G34" s="170"/>
      <c r="H34" s="170"/>
      <c r="I34" s="171"/>
      <c r="J34" s="51" t="str">
        <f ca="1">IF(AND('Mapa final'!$AY$24="Media",'Mapa final'!$BA$24="Leve"),CONCATENATE("R9C",'Mapa final'!$AL$24),"")</f>
        <v/>
      </c>
      <c r="K34" s="52" t="e">
        <f>IF(AND('Mapa final'!#REF!="Media",'Mapa final'!#REF!="Leve"),CONCATENATE("R9C",'Mapa final'!#REF!),"")</f>
        <v>#REF!</v>
      </c>
      <c r="L34" s="52" t="e">
        <f>IF(AND('Mapa final'!#REF!="Media",'Mapa final'!#REF!="Leve"),CONCATENATE("R9C",'Mapa final'!#REF!),"")</f>
        <v>#REF!</v>
      </c>
      <c r="M34" s="52" t="e">
        <f>IF(AND('Mapa final'!#REF!="Media",'Mapa final'!#REF!="Leve"),CONCATENATE("R9C",'Mapa final'!#REF!),"")</f>
        <v>#REF!</v>
      </c>
      <c r="N34" s="52" t="e">
        <f>IF(AND('Mapa final'!#REF!="Media",'Mapa final'!#REF!="Leve"),CONCATENATE("R9C",'Mapa final'!#REF!),"")</f>
        <v>#REF!</v>
      </c>
      <c r="O34" s="53" t="e">
        <f>IF(AND('Mapa final'!#REF!="Media",'Mapa final'!#REF!="Leve"),CONCATENATE("R9C",'Mapa final'!#REF!),"")</f>
        <v>#REF!</v>
      </c>
      <c r="P34" s="51" t="str">
        <f ca="1">IF(AND('Mapa final'!$AY$24="Media",'Mapa final'!$BA$24="Menor"),CONCATENATE("R9C",'Mapa final'!$AL$24),"")</f>
        <v/>
      </c>
      <c r="Q34" s="52" t="e">
        <f>IF(AND('Mapa final'!#REF!="Media",'Mapa final'!#REF!="Menor"),CONCATENATE("R9C",'Mapa final'!#REF!),"")</f>
        <v>#REF!</v>
      </c>
      <c r="R34" s="52" t="e">
        <f>IF(AND('Mapa final'!#REF!="Media",'Mapa final'!#REF!="Menor"),CONCATENATE("R9C",'Mapa final'!#REF!),"")</f>
        <v>#REF!</v>
      </c>
      <c r="S34" s="52" t="e">
        <f>IF(AND('Mapa final'!#REF!="Media",'Mapa final'!#REF!="Menor"),CONCATENATE("R9C",'Mapa final'!#REF!),"")</f>
        <v>#REF!</v>
      </c>
      <c r="T34" s="52" t="e">
        <f>IF(AND('Mapa final'!#REF!="Media",'Mapa final'!#REF!="Menor"),CONCATENATE("R9C",'Mapa final'!#REF!),"")</f>
        <v>#REF!</v>
      </c>
      <c r="U34" s="53" t="e">
        <f>IF(AND('Mapa final'!#REF!="Media",'Mapa final'!#REF!="Menor"),CONCATENATE("R9C",'Mapa final'!#REF!),"")</f>
        <v>#REF!</v>
      </c>
      <c r="V34" s="51" t="str">
        <f ca="1">IF(AND('Mapa final'!$AY$24="Media",'Mapa final'!$BA$24="Moderado"),CONCATENATE("R9C",'Mapa final'!$AL$24),"")</f>
        <v/>
      </c>
      <c r="W34" s="52" t="e">
        <f>IF(AND('Mapa final'!#REF!="Media",'Mapa final'!#REF!="Moderado"),CONCATENATE("R9C",'Mapa final'!#REF!),"")</f>
        <v>#REF!</v>
      </c>
      <c r="X34" s="52" t="e">
        <f>IF(AND('Mapa final'!#REF!="Media",'Mapa final'!#REF!="Moderado"),CONCATENATE("R9C",'Mapa final'!#REF!),"")</f>
        <v>#REF!</v>
      </c>
      <c r="Y34" s="52" t="e">
        <f>IF(AND('Mapa final'!#REF!="Media",'Mapa final'!#REF!="Moderado"),CONCATENATE("R9C",'Mapa final'!#REF!),"")</f>
        <v>#REF!</v>
      </c>
      <c r="Z34" s="52" t="e">
        <f>IF(AND('Mapa final'!#REF!="Media",'Mapa final'!#REF!="Moderado"),CONCATENATE("R9C",'Mapa final'!#REF!),"")</f>
        <v>#REF!</v>
      </c>
      <c r="AA34" s="53" t="e">
        <f>IF(AND('Mapa final'!#REF!="Media",'Mapa final'!#REF!="Moderado"),CONCATENATE("R9C",'Mapa final'!#REF!),"")</f>
        <v>#REF!</v>
      </c>
      <c r="AB34" s="36" t="str">
        <f ca="1">IF(AND('Mapa final'!$AY$24="Media",'Mapa final'!$BA$24="Mayor"),CONCATENATE("R9C",'Mapa final'!$AL$24),"")</f>
        <v/>
      </c>
      <c r="AC34" s="37" t="e">
        <f>IF(AND('Mapa final'!#REF!="Media",'Mapa final'!#REF!="Mayor"),CONCATENATE("R9C",'Mapa final'!#REF!),"")</f>
        <v>#REF!</v>
      </c>
      <c r="AD34" s="37" t="e">
        <f>IF(AND('Mapa final'!#REF!="Media",'Mapa final'!#REF!="Mayor"),CONCATENATE("R9C",'Mapa final'!#REF!),"")</f>
        <v>#REF!</v>
      </c>
      <c r="AE34" s="37" t="e">
        <f>IF(AND('Mapa final'!#REF!="Media",'Mapa final'!#REF!="Mayor"),CONCATENATE("R9C",'Mapa final'!#REF!),"")</f>
        <v>#REF!</v>
      </c>
      <c r="AF34" s="37" t="e">
        <f>IF(AND('Mapa final'!#REF!="Media",'Mapa final'!#REF!="Mayor"),CONCATENATE("R9C",'Mapa final'!#REF!),"")</f>
        <v>#REF!</v>
      </c>
      <c r="AG34" s="38" t="e">
        <f>IF(AND('Mapa final'!#REF!="Media",'Mapa final'!#REF!="Mayor"),CONCATENATE("R9C",'Mapa final'!#REF!),"")</f>
        <v>#REF!</v>
      </c>
      <c r="AH34" s="39" t="str">
        <f ca="1">IF(AND('Mapa final'!$AY$24="Media",'Mapa final'!$BA$24="Catastrófico"),CONCATENATE("R9C",'Mapa final'!$AL$24),"")</f>
        <v/>
      </c>
      <c r="AI34" s="40" t="e">
        <f>IF(AND('Mapa final'!#REF!="Media",'Mapa final'!#REF!="Catastrófico"),CONCATENATE("R9C",'Mapa final'!#REF!),"")</f>
        <v>#REF!</v>
      </c>
      <c r="AJ34" s="40" t="e">
        <f>IF(AND('Mapa final'!#REF!="Media",'Mapa final'!#REF!="Catastrófico"),CONCATENATE("R9C",'Mapa final'!#REF!),"")</f>
        <v>#REF!</v>
      </c>
      <c r="AK34" s="40" t="e">
        <f>IF(AND('Mapa final'!#REF!="Media",'Mapa final'!#REF!="Catastrófico"),CONCATENATE("R9C",'Mapa final'!#REF!),"")</f>
        <v>#REF!</v>
      </c>
      <c r="AL34" s="40" t="e">
        <f>IF(AND('Mapa final'!#REF!="Media",'Mapa final'!#REF!="Catastrófico"),CONCATENATE("R9C",'Mapa final'!#REF!),"")</f>
        <v>#REF!</v>
      </c>
      <c r="AM34" s="41" t="e">
        <f>IF(AND('Mapa final'!#REF!="Media",'Mapa final'!#REF!="Catastrófico"),CONCATENATE("R9C",'Mapa final'!#REF!),"")</f>
        <v>#REF!</v>
      </c>
      <c r="AN34" s="1"/>
      <c r="AO34" s="267"/>
      <c r="AP34" s="170"/>
      <c r="AQ34" s="170"/>
      <c r="AR34" s="170"/>
      <c r="AS34" s="170"/>
      <c r="AT34" s="268"/>
      <c r="AU34" s="1"/>
      <c r="AV34" s="1"/>
      <c r="AW34" s="1"/>
      <c r="AX34" s="1"/>
      <c r="AY34" s="1"/>
      <c r="AZ34" s="1"/>
      <c r="BA34" s="1"/>
      <c r="BB34" s="1"/>
      <c r="BC34" s="1"/>
      <c r="BD34" s="1"/>
      <c r="BE34" s="1"/>
      <c r="BF34" s="1"/>
      <c r="BG34" s="1"/>
      <c r="BH34" s="1"/>
      <c r="BI34" s="1"/>
    </row>
    <row r="35" spans="1:61" ht="15.75" customHeight="1" x14ac:dyDescent="0.25">
      <c r="A35" s="1"/>
      <c r="B35" s="258"/>
      <c r="C35" s="170"/>
      <c r="D35" s="171"/>
      <c r="E35" s="248"/>
      <c r="F35" s="249"/>
      <c r="G35" s="249"/>
      <c r="H35" s="249"/>
      <c r="I35" s="252"/>
      <c r="J35" s="51" t="str">
        <f ca="1">IF(AND('Mapa final'!$AY$25="Media",'Mapa final'!$BA$25="Leve"),CONCATENATE("R10C",'Mapa final'!$AL$25),"")</f>
        <v/>
      </c>
      <c r="K35" s="52" t="str">
        <f ca="1">IF(AND('Mapa final'!$AY$26="Media",'Mapa final'!$BA$26="Leve"),CONCATENATE("R10C",'Mapa final'!$AL$26),"")</f>
        <v/>
      </c>
      <c r="L35" s="52" t="e">
        <f>IF(AND('Mapa final'!#REF!="Media",'Mapa final'!#REF!="Leve"),CONCATENATE("R10C",'Mapa final'!#REF!),"")</f>
        <v>#REF!</v>
      </c>
      <c r="M35" s="52" t="e">
        <f>IF(AND('Mapa final'!#REF!="Media",'Mapa final'!#REF!="Leve"),CONCATENATE("R10C",'Mapa final'!#REF!),"")</f>
        <v>#REF!</v>
      </c>
      <c r="N35" s="52" t="e">
        <f>IF(AND('Mapa final'!#REF!="Media",'Mapa final'!#REF!="Leve"),CONCATENATE("R10C",'Mapa final'!#REF!),"")</f>
        <v>#REF!</v>
      </c>
      <c r="O35" s="53" t="e">
        <f>IF(AND('Mapa final'!#REF!="Media",'Mapa final'!#REF!="Leve"),CONCATENATE("R10C",'Mapa final'!#REF!),"")</f>
        <v>#REF!</v>
      </c>
      <c r="P35" s="51" t="str">
        <f ca="1">IF(AND('Mapa final'!$AY$25="Media",'Mapa final'!$BA$25="Menor"),CONCATENATE("R10C",'Mapa final'!$AL$25),"")</f>
        <v/>
      </c>
      <c r="Q35" s="52" t="str">
        <f ca="1">IF(AND('Mapa final'!$AY$26="Media",'Mapa final'!$BA$26="Menor"),CONCATENATE("R10C",'Mapa final'!$AL$26),"")</f>
        <v/>
      </c>
      <c r="R35" s="52" t="e">
        <f>IF(AND('Mapa final'!#REF!="Media",'Mapa final'!#REF!="Menor"),CONCATENATE("R10C",'Mapa final'!#REF!),"")</f>
        <v>#REF!</v>
      </c>
      <c r="S35" s="52" t="e">
        <f>IF(AND('Mapa final'!#REF!="Media",'Mapa final'!#REF!="Menor"),CONCATENATE("R10C",'Mapa final'!#REF!),"")</f>
        <v>#REF!</v>
      </c>
      <c r="T35" s="52" t="e">
        <f>IF(AND('Mapa final'!#REF!="Media",'Mapa final'!#REF!="Menor"),CONCATENATE("R10C",'Mapa final'!#REF!),"")</f>
        <v>#REF!</v>
      </c>
      <c r="U35" s="53" t="e">
        <f>IF(AND('Mapa final'!#REF!="Media",'Mapa final'!#REF!="Menor"),CONCATENATE("R10C",'Mapa final'!#REF!),"")</f>
        <v>#REF!</v>
      </c>
      <c r="V35" s="51" t="str">
        <f ca="1">IF(AND('Mapa final'!$AY$25="Media",'Mapa final'!$BA$25="Moderado"),CONCATENATE("R10C",'Mapa final'!$AL$25),"")</f>
        <v/>
      </c>
      <c r="W35" s="52" t="str">
        <f ca="1">IF(AND('Mapa final'!$AY$26="Media",'Mapa final'!$BA$26="Moderado"),CONCATENATE("R10C",'Mapa final'!$AL$26),"")</f>
        <v/>
      </c>
      <c r="X35" s="52" t="e">
        <f>IF(AND('Mapa final'!#REF!="Media",'Mapa final'!#REF!="Moderado"),CONCATENATE("R10C",'Mapa final'!#REF!),"")</f>
        <v>#REF!</v>
      </c>
      <c r="Y35" s="52" t="e">
        <f>IF(AND('Mapa final'!#REF!="Media",'Mapa final'!#REF!="Moderado"),CONCATENATE("R10C",'Mapa final'!#REF!),"")</f>
        <v>#REF!</v>
      </c>
      <c r="Z35" s="52" t="e">
        <f>IF(AND('Mapa final'!#REF!="Media",'Mapa final'!#REF!="Moderado"),CONCATENATE("R10C",'Mapa final'!#REF!),"")</f>
        <v>#REF!</v>
      </c>
      <c r="AA35" s="53" t="e">
        <f>IF(AND('Mapa final'!#REF!="Media",'Mapa final'!#REF!="Moderado"),CONCATENATE("R10C",'Mapa final'!#REF!),"")</f>
        <v>#REF!</v>
      </c>
      <c r="AB35" s="42" t="str">
        <f ca="1">IF(AND('Mapa final'!$AY$25="Media",'Mapa final'!$BA$25="Mayor"),CONCATENATE("R10C",'Mapa final'!$AL$25),"")</f>
        <v/>
      </c>
      <c r="AC35" s="43" t="str">
        <f ca="1">IF(AND('Mapa final'!$AY$26="Media",'Mapa final'!$BA$26="Mayor"),CONCATENATE("R10C",'Mapa final'!$AL$26),"")</f>
        <v/>
      </c>
      <c r="AD35" s="43" t="e">
        <f>IF(AND('Mapa final'!#REF!="Media",'Mapa final'!#REF!="Mayor"),CONCATENATE("R10C",'Mapa final'!#REF!),"")</f>
        <v>#REF!</v>
      </c>
      <c r="AE35" s="43" t="e">
        <f>IF(AND('Mapa final'!#REF!="Media",'Mapa final'!#REF!="Mayor"),CONCATENATE("R10C",'Mapa final'!#REF!),"")</f>
        <v>#REF!</v>
      </c>
      <c r="AF35" s="43" t="e">
        <f>IF(AND('Mapa final'!#REF!="Media",'Mapa final'!#REF!="Mayor"),CONCATENATE("R10C",'Mapa final'!#REF!),"")</f>
        <v>#REF!</v>
      </c>
      <c r="AG35" s="44" t="e">
        <f>IF(AND('Mapa final'!#REF!="Media",'Mapa final'!#REF!="Mayor"),CONCATENATE("R10C",'Mapa final'!#REF!),"")</f>
        <v>#REF!</v>
      </c>
      <c r="AH35" s="45" t="str">
        <f ca="1">IF(AND('Mapa final'!$AY$25="Media",'Mapa final'!$BA$25="Catastrófico"),CONCATENATE("R10C",'Mapa final'!$AL$25),"")</f>
        <v/>
      </c>
      <c r="AI35" s="46" t="str">
        <f ca="1">IF(AND('Mapa final'!$AY$26="Media",'Mapa final'!$BA$26="Catastrófico"),CONCATENATE("R10C",'Mapa final'!$AL$26),"")</f>
        <v/>
      </c>
      <c r="AJ35" s="46" t="e">
        <f>IF(AND('Mapa final'!#REF!="Media",'Mapa final'!#REF!="Catastrófico"),CONCATENATE("R10C",'Mapa final'!#REF!),"")</f>
        <v>#REF!</v>
      </c>
      <c r="AK35" s="46" t="e">
        <f>IF(AND('Mapa final'!#REF!="Media",'Mapa final'!#REF!="Catastrófico"),CONCATENATE("R10C",'Mapa final'!#REF!),"")</f>
        <v>#REF!</v>
      </c>
      <c r="AL35" s="46" t="e">
        <f>IF(AND('Mapa final'!#REF!="Media",'Mapa final'!#REF!="Catastrófico"),CONCATENATE("R10C",'Mapa final'!#REF!),"")</f>
        <v>#REF!</v>
      </c>
      <c r="AM35" s="47" t="e">
        <f>IF(AND('Mapa final'!#REF!="Media",'Mapa final'!#REF!="Catastrófico"),CONCATENATE("R10C",'Mapa final'!#REF!),"")</f>
        <v>#REF!</v>
      </c>
      <c r="AN35" s="1"/>
      <c r="AO35" s="269"/>
      <c r="AP35" s="270"/>
      <c r="AQ35" s="270"/>
      <c r="AR35" s="270"/>
      <c r="AS35" s="270"/>
      <c r="AT35" s="271"/>
      <c r="AU35" s="1"/>
      <c r="AV35" s="1"/>
      <c r="AW35" s="1"/>
      <c r="AX35" s="1"/>
      <c r="AY35" s="1"/>
      <c r="AZ35" s="1"/>
      <c r="BA35" s="1"/>
      <c r="BB35" s="1"/>
      <c r="BC35" s="1"/>
      <c r="BD35" s="1"/>
      <c r="BE35" s="1"/>
      <c r="BF35" s="1"/>
      <c r="BG35" s="1"/>
      <c r="BH35" s="1"/>
      <c r="BI35" s="1"/>
    </row>
    <row r="36" spans="1:61" ht="15" customHeight="1" x14ac:dyDescent="0.25">
      <c r="A36" s="1"/>
      <c r="B36" s="258"/>
      <c r="C36" s="170"/>
      <c r="D36" s="171"/>
      <c r="E36" s="276" t="s">
        <v>99</v>
      </c>
      <c r="F36" s="247"/>
      <c r="G36" s="247"/>
      <c r="H36" s="247"/>
      <c r="I36" s="247"/>
      <c r="J36" s="57" t="str">
        <f ca="1">IF(AND('Mapa final'!$AY$10="Baja",'Mapa final'!$BA$10="Leve"),CONCATENATE("R1C",'Mapa final'!$AL$10),"")</f>
        <v/>
      </c>
      <c r="K36" s="58" t="str">
        <f ca="1">IF(AND('Mapa final'!$AY$11="Baja",'Mapa final'!$BA$11="Leve"),CONCATENATE("R1C",'Mapa final'!$AL$11),"")</f>
        <v/>
      </c>
      <c r="L36" s="58" t="e">
        <f>IF(AND('Mapa final'!#REF!="Baja",'Mapa final'!#REF!="Leve"),CONCATENATE("R1C",'Mapa final'!#REF!),"")</f>
        <v>#REF!</v>
      </c>
      <c r="M36" s="58" t="e">
        <f>IF(AND('Mapa final'!#REF!="Baja",'Mapa final'!#REF!="Leve"),CONCATENATE("R1C",'Mapa final'!#REF!),"")</f>
        <v>#REF!</v>
      </c>
      <c r="N36" s="58" t="e">
        <f>IF(AND('Mapa final'!#REF!="Baja",'Mapa final'!#REF!="Leve"),CONCATENATE("R1C",'Mapa final'!#REF!),"")</f>
        <v>#REF!</v>
      </c>
      <c r="O36" s="59" t="e">
        <f>IF(AND('Mapa final'!#REF!="Baja",'Mapa final'!#REF!="Leve"),CONCATENATE("R1C",'Mapa final'!#REF!),"")</f>
        <v>#REF!</v>
      </c>
      <c r="P36" s="48" t="str">
        <f ca="1">IF(AND('Mapa final'!$AY$10="Baja",'Mapa final'!$BA$10="Menor"),CONCATENATE("R1C",'Mapa final'!$AL$10),"")</f>
        <v/>
      </c>
      <c r="Q36" s="49" t="str">
        <f ca="1">IF(AND('Mapa final'!$AY$11="Baja",'Mapa final'!$BA$11="Menor"),CONCATENATE("R1C",'Mapa final'!$AL$11),"")</f>
        <v/>
      </c>
      <c r="R36" s="49" t="e">
        <f>IF(AND('Mapa final'!#REF!="Baja",'Mapa final'!#REF!="Menor"),CONCATENATE("R1C",'Mapa final'!#REF!),"")</f>
        <v>#REF!</v>
      </c>
      <c r="S36" s="49" t="e">
        <f>IF(AND('Mapa final'!#REF!="Baja",'Mapa final'!#REF!="Menor"),CONCATENATE("R1C",'Mapa final'!#REF!),"")</f>
        <v>#REF!</v>
      </c>
      <c r="T36" s="49" t="e">
        <f>IF(AND('Mapa final'!#REF!="Baja",'Mapa final'!#REF!="Menor"),CONCATENATE("R1C",'Mapa final'!#REF!),"")</f>
        <v>#REF!</v>
      </c>
      <c r="U36" s="50" t="e">
        <f>IF(AND('Mapa final'!#REF!="Baja",'Mapa final'!#REF!="Menor"),CONCATENATE("R1C",'Mapa final'!#REF!),"")</f>
        <v>#REF!</v>
      </c>
      <c r="V36" s="48" t="str">
        <f ca="1">IF(AND('Mapa final'!$AY$10="Baja",'Mapa final'!$BA$10="Moderado"),CONCATENATE("R1C",'Mapa final'!$AL$10),"")</f>
        <v/>
      </c>
      <c r="W36" s="49" t="str">
        <f ca="1">IF(AND('Mapa final'!$AY$11="Baja",'Mapa final'!$BA$11="Moderado"),CONCATENATE("R1C",'Mapa final'!$AL$11),"")</f>
        <v>R1C2</v>
      </c>
      <c r="X36" s="49" t="e">
        <f>IF(AND('Mapa final'!#REF!="Baja",'Mapa final'!#REF!="Moderado"),CONCATENATE("R1C",'Mapa final'!#REF!),"")</f>
        <v>#REF!</v>
      </c>
      <c r="Y36" s="49" t="e">
        <f>IF(AND('Mapa final'!#REF!="Baja",'Mapa final'!#REF!="Moderado"),CONCATENATE("R1C",'Mapa final'!#REF!),"")</f>
        <v>#REF!</v>
      </c>
      <c r="Z36" s="49" t="e">
        <f>IF(AND('Mapa final'!#REF!="Baja",'Mapa final'!#REF!="Moderado"),CONCATENATE("R1C",'Mapa final'!#REF!),"")</f>
        <v>#REF!</v>
      </c>
      <c r="AA36" s="50" t="e">
        <f>IF(AND('Mapa final'!#REF!="Baja",'Mapa final'!#REF!="Moderado"),CONCATENATE("R1C",'Mapa final'!#REF!),"")</f>
        <v>#REF!</v>
      </c>
      <c r="AB36" s="30" t="str">
        <f ca="1">IF(AND('Mapa final'!$AY$10="Baja",'Mapa final'!$BA$10="Mayor"),CONCATENATE("R1C",'Mapa final'!$AL$10),"")</f>
        <v/>
      </c>
      <c r="AC36" s="31" t="str">
        <f ca="1">IF(AND('Mapa final'!$AY$11="Baja",'Mapa final'!$BA$11="Mayor"),CONCATENATE("R1C",'Mapa final'!$AL$11),"")</f>
        <v/>
      </c>
      <c r="AD36" s="31" t="e">
        <f>IF(AND('Mapa final'!#REF!="Baja",'Mapa final'!#REF!="Mayor"),CONCATENATE("R1C",'Mapa final'!#REF!),"")</f>
        <v>#REF!</v>
      </c>
      <c r="AE36" s="31" t="e">
        <f>IF(AND('Mapa final'!#REF!="Baja",'Mapa final'!#REF!="Mayor"),CONCATENATE("R1C",'Mapa final'!#REF!),"")</f>
        <v>#REF!</v>
      </c>
      <c r="AF36" s="31" t="e">
        <f>IF(AND('Mapa final'!#REF!="Baja",'Mapa final'!#REF!="Mayor"),CONCATENATE("R1C",'Mapa final'!#REF!),"")</f>
        <v>#REF!</v>
      </c>
      <c r="AG36" s="32" t="e">
        <f>IF(AND('Mapa final'!#REF!="Baja",'Mapa final'!#REF!="Mayor"),CONCATENATE("R1C",'Mapa final'!#REF!),"")</f>
        <v>#REF!</v>
      </c>
      <c r="AH36" s="33" t="str">
        <f ca="1">IF(AND('Mapa final'!$AY$10="Baja",'Mapa final'!$BA$10="Catastrófico"),CONCATENATE("R1C",'Mapa final'!$AL$10),"")</f>
        <v/>
      </c>
      <c r="AI36" s="34" t="str">
        <f ca="1">IF(AND('Mapa final'!$AY$11="Baja",'Mapa final'!$BA$11="Catastrófico"),CONCATENATE("R1C",'Mapa final'!$AL$11),"")</f>
        <v/>
      </c>
      <c r="AJ36" s="34" t="e">
        <f>IF(AND('Mapa final'!#REF!="Baja",'Mapa final'!#REF!="Catastrófico"),CONCATENATE("R1C",'Mapa final'!#REF!),"")</f>
        <v>#REF!</v>
      </c>
      <c r="AK36" s="34" t="e">
        <f>IF(AND('Mapa final'!#REF!="Baja",'Mapa final'!#REF!="Catastrófico"),CONCATENATE("R1C",'Mapa final'!#REF!),"")</f>
        <v>#REF!</v>
      </c>
      <c r="AL36" s="34" t="e">
        <f>IF(AND('Mapa final'!#REF!="Baja",'Mapa final'!#REF!="Catastrófico"),CONCATENATE("R1C",'Mapa final'!#REF!),"")</f>
        <v>#REF!</v>
      </c>
      <c r="AM36" s="35" t="e">
        <f>IF(AND('Mapa final'!#REF!="Baja",'Mapa final'!#REF!="Catastrófico"),CONCATENATE("R1C",'Mapa final'!#REF!),"")</f>
        <v>#REF!</v>
      </c>
      <c r="AN36" s="1"/>
      <c r="AO36" s="280" t="s">
        <v>100</v>
      </c>
      <c r="AP36" s="265"/>
      <c r="AQ36" s="265"/>
      <c r="AR36" s="265"/>
      <c r="AS36" s="265"/>
      <c r="AT36" s="266"/>
      <c r="AU36" s="1"/>
      <c r="AV36" s="1"/>
      <c r="AW36" s="1"/>
      <c r="AX36" s="1"/>
      <c r="AY36" s="1"/>
      <c r="AZ36" s="1"/>
      <c r="BA36" s="1"/>
      <c r="BB36" s="1"/>
      <c r="BC36" s="1"/>
      <c r="BD36" s="1"/>
      <c r="BE36" s="1"/>
      <c r="BF36" s="1"/>
      <c r="BG36" s="1"/>
      <c r="BH36" s="1"/>
      <c r="BI36" s="1"/>
    </row>
    <row r="37" spans="1:61" ht="15" customHeight="1" x14ac:dyDescent="0.25">
      <c r="A37" s="1"/>
      <c r="B37" s="258"/>
      <c r="C37" s="170"/>
      <c r="D37" s="171"/>
      <c r="E37" s="182"/>
      <c r="F37" s="170"/>
      <c r="G37" s="170"/>
      <c r="H37" s="170"/>
      <c r="I37" s="170"/>
      <c r="J37" s="60" t="str">
        <f ca="1">IF(AND('Mapa final'!$AY$12="Baja",'Mapa final'!$BA$12="Leve"),CONCATENATE("R2C",'Mapa final'!$AL$12),"")</f>
        <v/>
      </c>
      <c r="K37" s="61" t="str">
        <f ca="1">IF(AND('Mapa final'!$AY$13="Baja",'Mapa final'!$BA$13="Leve"),CONCATENATE("R2C",'Mapa final'!$AL$13),"")</f>
        <v/>
      </c>
      <c r="L37" s="61" t="e">
        <f>IF(AND('Mapa final'!#REF!="Baja",'Mapa final'!#REF!="Leve"),CONCATENATE("R2C",'Mapa final'!#REF!),"")</f>
        <v>#REF!</v>
      </c>
      <c r="M37" s="61" t="e">
        <f>IF(AND('Mapa final'!#REF!="Baja",'Mapa final'!#REF!="Leve"),CONCATENATE("R2C",'Mapa final'!#REF!),"")</f>
        <v>#REF!</v>
      </c>
      <c r="N37" s="61" t="e">
        <f>IF(AND('Mapa final'!#REF!="Baja",'Mapa final'!#REF!="Leve"),CONCATENATE("R2C",'Mapa final'!#REF!),"")</f>
        <v>#REF!</v>
      </c>
      <c r="O37" s="62" t="e">
        <f>IF(AND('Mapa final'!#REF!="Baja",'Mapa final'!#REF!="Leve"),CONCATENATE("R2C",'Mapa final'!#REF!),"")</f>
        <v>#REF!</v>
      </c>
      <c r="P37" s="51" t="str">
        <f ca="1">IF(AND('Mapa final'!$AY$12="Baja",'Mapa final'!$BA$12="Menor"),CONCATENATE("R2C",'Mapa final'!$AL$12),"")</f>
        <v/>
      </c>
      <c r="Q37" s="52" t="str">
        <f ca="1">IF(AND('Mapa final'!$AY$13="Baja",'Mapa final'!$BA$13="Menor"),CONCATENATE("R2C",'Mapa final'!$AL$13),"")</f>
        <v/>
      </c>
      <c r="R37" s="52" t="e">
        <f>IF(AND('Mapa final'!#REF!="Baja",'Mapa final'!#REF!="Menor"),CONCATENATE("R2C",'Mapa final'!#REF!),"")</f>
        <v>#REF!</v>
      </c>
      <c r="S37" s="52" t="e">
        <f>IF(AND('Mapa final'!#REF!="Baja",'Mapa final'!#REF!="Menor"),CONCATENATE("R2C",'Mapa final'!#REF!),"")</f>
        <v>#REF!</v>
      </c>
      <c r="T37" s="52" t="e">
        <f>IF(AND('Mapa final'!#REF!="Baja",'Mapa final'!#REF!="Menor"),CONCATENATE("R2C",'Mapa final'!#REF!),"")</f>
        <v>#REF!</v>
      </c>
      <c r="U37" s="53" t="e">
        <f>IF(AND('Mapa final'!#REF!="Baja",'Mapa final'!#REF!="Menor"),CONCATENATE("R2C",'Mapa final'!#REF!),"")</f>
        <v>#REF!</v>
      </c>
      <c r="V37" s="51" t="str">
        <f ca="1">IF(AND('Mapa final'!$AY$12="Baja",'Mapa final'!$BA$12="Moderado"),CONCATENATE("R2C",'Mapa final'!$AL$12),"")</f>
        <v/>
      </c>
      <c r="W37" s="52" t="str">
        <f ca="1">IF(AND('Mapa final'!$AY$13="Baja",'Mapa final'!$BA$13="Moderado"),CONCATENATE("R2C",'Mapa final'!$AL$13),"")</f>
        <v/>
      </c>
      <c r="X37" s="52" t="e">
        <f>IF(AND('Mapa final'!#REF!="Baja",'Mapa final'!#REF!="Moderado"),CONCATENATE("R2C",'Mapa final'!#REF!),"")</f>
        <v>#REF!</v>
      </c>
      <c r="Y37" s="52" t="e">
        <f>IF(AND('Mapa final'!#REF!="Baja",'Mapa final'!#REF!="Moderado"),CONCATENATE("R2C",'Mapa final'!#REF!),"")</f>
        <v>#REF!</v>
      </c>
      <c r="Z37" s="52" t="e">
        <f>IF(AND('Mapa final'!#REF!="Baja",'Mapa final'!#REF!="Moderado"),CONCATENATE("R2C",'Mapa final'!#REF!),"")</f>
        <v>#REF!</v>
      </c>
      <c r="AA37" s="53" t="e">
        <f>IF(AND('Mapa final'!#REF!="Baja",'Mapa final'!#REF!="Moderado"),CONCATENATE("R2C",'Mapa final'!#REF!),"")</f>
        <v>#REF!</v>
      </c>
      <c r="AB37" s="36" t="str">
        <f ca="1">IF(AND('Mapa final'!$AY$12="Baja",'Mapa final'!$BA$12="Mayor"),CONCATENATE("R2C",'Mapa final'!$AL$12),"")</f>
        <v/>
      </c>
      <c r="AC37" s="37" t="str">
        <f ca="1">IF(AND('Mapa final'!$AY$13="Baja",'Mapa final'!$BA$13="Mayor"),CONCATENATE("R2C",'Mapa final'!$AL$13),"")</f>
        <v/>
      </c>
      <c r="AD37" s="37" t="e">
        <f>IF(AND('Mapa final'!#REF!="Baja",'Mapa final'!#REF!="Mayor"),CONCATENATE("R2C",'Mapa final'!#REF!),"")</f>
        <v>#REF!</v>
      </c>
      <c r="AE37" s="37" t="e">
        <f>IF(AND('Mapa final'!#REF!="Baja",'Mapa final'!#REF!="Mayor"),CONCATENATE("R2C",'Mapa final'!#REF!),"")</f>
        <v>#REF!</v>
      </c>
      <c r="AF37" s="37" t="e">
        <f>IF(AND('Mapa final'!#REF!="Baja",'Mapa final'!#REF!="Mayor"),CONCATENATE("R2C",'Mapa final'!#REF!),"")</f>
        <v>#REF!</v>
      </c>
      <c r="AG37" s="38" t="e">
        <f>IF(AND('Mapa final'!#REF!="Baja",'Mapa final'!#REF!="Mayor"),CONCATENATE("R2C",'Mapa final'!#REF!),"")</f>
        <v>#REF!</v>
      </c>
      <c r="AH37" s="39" t="str">
        <f ca="1">IF(AND('Mapa final'!$AY$12="Baja",'Mapa final'!$BA$12="Catastrófico"),CONCATENATE("R2C",'Mapa final'!$AL$12),"")</f>
        <v/>
      </c>
      <c r="AI37" s="40" t="str">
        <f ca="1">IF(AND('Mapa final'!$AY$13="Baja",'Mapa final'!$BA$13="Catastrófico"),CONCATENATE("R2C",'Mapa final'!$AL$13),"")</f>
        <v/>
      </c>
      <c r="AJ37" s="40" t="e">
        <f>IF(AND('Mapa final'!#REF!="Baja",'Mapa final'!#REF!="Catastrófico"),CONCATENATE("R2C",'Mapa final'!#REF!),"")</f>
        <v>#REF!</v>
      </c>
      <c r="AK37" s="40" t="e">
        <f>IF(AND('Mapa final'!#REF!="Baja",'Mapa final'!#REF!="Catastrófico"),CONCATENATE("R2C",'Mapa final'!#REF!),"")</f>
        <v>#REF!</v>
      </c>
      <c r="AL37" s="40" t="e">
        <f>IF(AND('Mapa final'!#REF!="Baja",'Mapa final'!#REF!="Catastrófico"),CONCATENATE("R2C",'Mapa final'!#REF!),"")</f>
        <v>#REF!</v>
      </c>
      <c r="AM37" s="41" t="e">
        <f>IF(AND('Mapa final'!#REF!="Baja",'Mapa final'!#REF!="Catastrófico"),CONCATENATE("R2C",'Mapa final'!#REF!),"")</f>
        <v>#REF!</v>
      </c>
      <c r="AN37" s="1"/>
      <c r="AO37" s="267"/>
      <c r="AP37" s="170"/>
      <c r="AQ37" s="170"/>
      <c r="AR37" s="170"/>
      <c r="AS37" s="170"/>
      <c r="AT37" s="268"/>
      <c r="AU37" s="1"/>
      <c r="AV37" s="1"/>
      <c r="AW37" s="1"/>
      <c r="AX37" s="1"/>
      <c r="AY37" s="1"/>
      <c r="AZ37" s="1"/>
      <c r="BA37" s="1"/>
      <c r="BB37" s="1"/>
      <c r="BC37" s="1"/>
      <c r="BD37" s="1"/>
      <c r="BE37" s="1"/>
      <c r="BF37" s="1"/>
      <c r="BG37" s="1"/>
      <c r="BH37" s="1"/>
      <c r="BI37" s="1"/>
    </row>
    <row r="38" spans="1:61" ht="15" customHeight="1" x14ac:dyDescent="0.25">
      <c r="A38" s="1"/>
      <c r="B38" s="258"/>
      <c r="C38" s="170"/>
      <c r="D38" s="171"/>
      <c r="E38" s="182"/>
      <c r="F38" s="170"/>
      <c r="G38" s="170"/>
      <c r="H38" s="170"/>
      <c r="I38" s="170"/>
      <c r="J38" s="60" t="str">
        <f ca="1">IF(AND('Mapa final'!$AY$14="Baja",'Mapa final'!$BA$14="Leve"),CONCATENATE("R3C",'Mapa final'!$AL$14),"")</f>
        <v/>
      </c>
      <c r="K38" s="61" t="e">
        <f>IF(AND('Mapa final'!#REF!="Baja",'Mapa final'!#REF!="Leve"),CONCATENATE("R3C",'Mapa final'!#REF!),"")</f>
        <v>#REF!</v>
      </c>
      <c r="L38" s="61" t="e">
        <f>IF(AND('Mapa final'!#REF!="Baja",'Mapa final'!#REF!="Leve"),CONCATENATE("R3C",'Mapa final'!#REF!),"")</f>
        <v>#REF!</v>
      </c>
      <c r="M38" s="61" t="e">
        <f>IF(AND('Mapa final'!#REF!="Baja",'Mapa final'!#REF!="Leve"),CONCATENATE("R3C",'Mapa final'!#REF!),"")</f>
        <v>#REF!</v>
      </c>
      <c r="N38" s="61" t="e">
        <f>IF(AND('Mapa final'!#REF!="Baja",'Mapa final'!#REF!="Leve"),CONCATENATE("R3C",'Mapa final'!#REF!),"")</f>
        <v>#REF!</v>
      </c>
      <c r="O38" s="62" t="e">
        <f>IF(AND('Mapa final'!#REF!="Baja",'Mapa final'!#REF!="Leve"),CONCATENATE("R3C",'Mapa final'!#REF!),"")</f>
        <v>#REF!</v>
      </c>
      <c r="P38" s="51" t="str">
        <f ca="1">IF(AND('Mapa final'!$AY$14="Baja",'Mapa final'!$BA$14="Menor"),CONCATENATE("R3C",'Mapa final'!$AL$14),"")</f>
        <v/>
      </c>
      <c r="Q38" s="52" t="e">
        <f>IF(AND('Mapa final'!#REF!="Baja",'Mapa final'!#REF!="Menor"),CONCATENATE("R3C",'Mapa final'!#REF!),"")</f>
        <v>#REF!</v>
      </c>
      <c r="R38" s="52" t="e">
        <f>IF(AND('Mapa final'!#REF!="Baja",'Mapa final'!#REF!="Menor"),CONCATENATE("R3C",'Mapa final'!#REF!),"")</f>
        <v>#REF!</v>
      </c>
      <c r="S38" s="52" t="e">
        <f>IF(AND('Mapa final'!#REF!="Baja",'Mapa final'!#REF!="Menor"),CONCATENATE("R3C",'Mapa final'!#REF!),"")</f>
        <v>#REF!</v>
      </c>
      <c r="T38" s="52" t="e">
        <f>IF(AND('Mapa final'!#REF!="Baja",'Mapa final'!#REF!="Menor"),CONCATENATE("R3C",'Mapa final'!#REF!),"")</f>
        <v>#REF!</v>
      </c>
      <c r="U38" s="53" t="e">
        <f>IF(AND('Mapa final'!#REF!="Baja",'Mapa final'!#REF!="Menor"),CONCATENATE("R3C",'Mapa final'!#REF!),"")</f>
        <v>#REF!</v>
      </c>
      <c r="V38" s="51" t="str">
        <f ca="1">IF(AND('Mapa final'!$AY$14="Baja",'Mapa final'!$BA$14="Moderado"),CONCATENATE("R3C",'Mapa final'!$AL$14),"")</f>
        <v/>
      </c>
      <c r="W38" s="52" t="e">
        <f>IF(AND('Mapa final'!#REF!="Baja",'Mapa final'!#REF!="Moderado"),CONCATENATE("R3C",'Mapa final'!#REF!),"")</f>
        <v>#REF!</v>
      </c>
      <c r="X38" s="52" t="e">
        <f>IF(AND('Mapa final'!#REF!="Baja",'Mapa final'!#REF!="Moderado"),CONCATENATE("R3C",'Mapa final'!#REF!),"")</f>
        <v>#REF!</v>
      </c>
      <c r="Y38" s="52" t="e">
        <f>IF(AND('Mapa final'!#REF!="Baja",'Mapa final'!#REF!="Moderado"),CONCATENATE("R3C",'Mapa final'!#REF!),"")</f>
        <v>#REF!</v>
      </c>
      <c r="Z38" s="52" t="e">
        <f>IF(AND('Mapa final'!#REF!="Baja",'Mapa final'!#REF!="Moderado"),CONCATENATE("R3C",'Mapa final'!#REF!),"")</f>
        <v>#REF!</v>
      </c>
      <c r="AA38" s="53" t="e">
        <f>IF(AND('Mapa final'!#REF!="Baja",'Mapa final'!#REF!="Moderado"),CONCATENATE("R3C",'Mapa final'!#REF!),"")</f>
        <v>#REF!</v>
      </c>
      <c r="AB38" s="36" t="str">
        <f ca="1">IF(AND('Mapa final'!$AY$14="Baja",'Mapa final'!$BA$14="Mayor"),CONCATENATE("R3C",'Mapa final'!$AL$14),"")</f>
        <v/>
      </c>
      <c r="AC38" s="37" t="e">
        <f>IF(AND('Mapa final'!#REF!="Baja",'Mapa final'!#REF!="Mayor"),CONCATENATE("R3C",'Mapa final'!#REF!),"")</f>
        <v>#REF!</v>
      </c>
      <c r="AD38" s="37" t="e">
        <f>IF(AND('Mapa final'!#REF!="Baja",'Mapa final'!#REF!="Mayor"),CONCATENATE("R3C",'Mapa final'!#REF!),"")</f>
        <v>#REF!</v>
      </c>
      <c r="AE38" s="37" t="e">
        <f>IF(AND('Mapa final'!#REF!="Baja",'Mapa final'!#REF!="Mayor"),CONCATENATE("R3C",'Mapa final'!#REF!),"")</f>
        <v>#REF!</v>
      </c>
      <c r="AF38" s="37" t="e">
        <f>IF(AND('Mapa final'!#REF!="Baja",'Mapa final'!#REF!="Mayor"),CONCATENATE("R3C",'Mapa final'!#REF!),"")</f>
        <v>#REF!</v>
      </c>
      <c r="AG38" s="38" t="e">
        <f>IF(AND('Mapa final'!#REF!="Baja",'Mapa final'!#REF!="Mayor"),CONCATENATE("R3C",'Mapa final'!#REF!),"")</f>
        <v>#REF!</v>
      </c>
      <c r="AH38" s="39" t="str">
        <f ca="1">IF(AND('Mapa final'!$AY$14="Baja",'Mapa final'!$BA$14="Catastrófico"),CONCATENATE("R3C",'Mapa final'!$AL$14),"")</f>
        <v/>
      </c>
      <c r="AI38" s="40" t="e">
        <f>IF(AND('Mapa final'!#REF!="Baja",'Mapa final'!#REF!="Catastrófico"),CONCATENATE("R3C",'Mapa final'!#REF!),"")</f>
        <v>#REF!</v>
      </c>
      <c r="AJ38" s="40" t="e">
        <f>IF(AND('Mapa final'!#REF!="Baja",'Mapa final'!#REF!="Catastrófico"),CONCATENATE("R3C",'Mapa final'!#REF!),"")</f>
        <v>#REF!</v>
      </c>
      <c r="AK38" s="40" t="e">
        <f>IF(AND('Mapa final'!#REF!="Baja",'Mapa final'!#REF!="Catastrófico"),CONCATENATE("R3C",'Mapa final'!#REF!),"")</f>
        <v>#REF!</v>
      </c>
      <c r="AL38" s="40" t="e">
        <f>IF(AND('Mapa final'!#REF!="Baja",'Mapa final'!#REF!="Catastrófico"),CONCATENATE("R3C",'Mapa final'!#REF!),"")</f>
        <v>#REF!</v>
      </c>
      <c r="AM38" s="41" t="e">
        <f>IF(AND('Mapa final'!#REF!="Baja",'Mapa final'!#REF!="Catastrófico"),CONCATENATE("R3C",'Mapa final'!#REF!),"")</f>
        <v>#REF!</v>
      </c>
      <c r="AN38" s="1"/>
      <c r="AO38" s="267"/>
      <c r="AP38" s="170"/>
      <c r="AQ38" s="170"/>
      <c r="AR38" s="170"/>
      <c r="AS38" s="170"/>
      <c r="AT38" s="268"/>
      <c r="AU38" s="1"/>
      <c r="AV38" s="1"/>
      <c r="AW38" s="1"/>
      <c r="AX38" s="1"/>
      <c r="AY38" s="1"/>
      <c r="AZ38" s="1"/>
      <c r="BA38" s="1"/>
      <c r="BB38" s="1"/>
      <c r="BC38" s="1"/>
      <c r="BD38" s="1"/>
      <c r="BE38" s="1"/>
      <c r="BF38" s="1"/>
      <c r="BG38" s="1"/>
      <c r="BH38" s="1"/>
      <c r="BI38" s="1"/>
    </row>
    <row r="39" spans="1:61" ht="15" customHeight="1" x14ac:dyDescent="0.25">
      <c r="A39" s="1"/>
      <c r="B39" s="258"/>
      <c r="C39" s="170"/>
      <c r="D39" s="171"/>
      <c r="E39" s="182"/>
      <c r="F39" s="170"/>
      <c r="G39" s="170"/>
      <c r="H39" s="170"/>
      <c r="I39" s="170"/>
      <c r="J39" s="60" t="str">
        <f ca="1">IF(AND('Mapa final'!$AY$15="Baja",'Mapa final'!$BA$15="Leve"),CONCATENATE("R4C",'Mapa final'!$AL$15),"")</f>
        <v/>
      </c>
      <c r="K39" s="61" t="str">
        <f>IF(AND('Mapa final'!$AY$16="Baja",'Mapa final'!$BA$16="Leve"),CONCATENATE("R4C",'Mapa final'!$AL$16),"")</f>
        <v/>
      </c>
      <c r="L39" s="61" t="str">
        <f>IF(AND('Mapa final'!$AY$17="Baja",'Mapa final'!$BA$17="Leve"),CONCATENATE("R4C",'Mapa final'!$AL$17),"")</f>
        <v/>
      </c>
      <c r="M39" s="61" t="e">
        <f>IF(AND('Mapa final'!#REF!="Baja",'Mapa final'!#REF!="Leve"),CONCATENATE("R4C",'Mapa final'!#REF!),"")</f>
        <v>#REF!</v>
      </c>
      <c r="N39" s="61" t="e">
        <f>IF(AND('Mapa final'!#REF!="Baja",'Mapa final'!#REF!="Leve"),CONCATENATE("R4C",'Mapa final'!#REF!),"")</f>
        <v>#REF!</v>
      </c>
      <c r="O39" s="62" t="e">
        <f>IF(AND('Mapa final'!#REF!="Baja",'Mapa final'!#REF!="Leve"),CONCATENATE("R4C",'Mapa final'!#REF!),"")</f>
        <v>#REF!</v>
      </c>
      <c r="P39" s="51" t="str">
        <f ca="1">IF(AND('Mapa final'!$AY$15="Baja",'Mapa final'!$BA$15="Menor"),CONCATENATE("R4C",'Mapa final'!$AL$15),"")</f>
        <v>R4C1</v>
      </c>
      <c r="Q39" s="52" t="str">
        <f>IF(AND('Mapa final'!$AY$16="Baja",'Mapa final'!$BA$16="Menor"),CONCATENATE("R4C",'Mapa final'!$AL$16),"")</f>
        <v>R4C2</v>
      </c>
      <c r="R39" s="52" t="str">
        <f>IF(AND('Mapa final'!$AY$17="Baja",'Mapa final'!$BA$17="Menor"),CONCATENATE("R4C",'Mapa final'!$AL$17),"")</f>
        <v/>
      </c>
      <c r="S39" s="52" t="e">
        <f>IF(AND('Mapa final'!#REF!="Baja",'Mapa final'!#REF!="Menor"),CONCATENATE("R4C",'Mapa final'!#REF!),"")</f>
        <v>#REF!</v>
      </c>
      <c r="T39" s="52" t="e">
        <f>IF(AND('Mapa final'!#REF!="Baja",'Mapa final'!#REF!="Menor"),CONCATENATE("R4C",'Mapa final'!#REF!),"")</f>
        <v>#REF!</v>
      </c>
      <c r="U39" s="53" t="e">
        <f>IF(AND('Mapa final'!#REF!="Baja",'Mapa final'!#REF!="Menor"),CONCATENATE("R4C",'Mapa final'!#REF!),"")</f>
        <v>#REF!</v>
      </c>
      <c r="V39" s="51" t="str">
        <f ca="1">IF(AND('Mapa final'!$AY$15="Baja",'Mapa final'!$BA$15="Moderado"),CONCATENATE("R4C",'Mapa final'!$AL$15),"")</f>
        <v/>
      </c>
      <c r="W39" s="52" t="str">
        <f>IF(AND('Mapa final'!$AY$16="Baja",'Mapa final'!$BA$16="Moderado"),CONCATENATE("R4C",'Mapa final'!$AL$16),"")</f>
        <v/>
      </c>
      <c r="X39" s="52" t="str">
        <f>IF(AND('Mapa final'!$AY$17="Baja",'Mapa final'!$BA$17="Moderado"),CONCATENATE("R4C",'Mapa final'!$AL$17),"")</f>
        <v/>
      </c>
      <c r="Y39" s="52" t="e">
        <f>IF(AND('Mapa final'!#REF!="Baja",'Mapa final'!#REF!="Moderado"),CONCATENATE("R4C",'Mapa final'!#REF!),"")</f>
        <v>#REF!</v>
      </c>
      <c r="Z39" s="52" t="e">
        <f>IF(AND('Mapa final'!#REF!="Baja",'Mapa final'!#REF!="Moderado"),CONCATENATE("R4C",'Mapa final'!#REF!),"")</f>
        <v>#REF!</v>
      </c>
      <c r="AA39" s="53" t="e">
        <f>IF(AND('Mapa final'!#REF!="Baja",'Mapa final'!#REF!="Moderado"),CONCATENATE("R4C",'Mapa final'!#REF!),"")</f>
        <v>#REF!</v>
      </c>
      <c r="AB39" s="36" t="str">
        <f ca="1">IF(AND('Mapa final'!$AY$15="Baja",'Mapa final'!$BA$15="Mayor"),CONCATENATE("R4C",'Mapa final'!$AL$15),"")</f>
        <v/>
      </c>
      <c r="AC39" s="37" t="str">
        <f>IF(AND('Mapa final'!$AY$16="Baja",'Mapa final'!$BA$16="Mayor"),CONCATENATE("R4C",'Mapa final'!$AL$16),"")</f>
        <v/>
      </c>
      <c r="AD39" s="37" t="str">
        <f>IF(AND('Mapa final'!$AY$17="Baja",'Mapa final'!$BA$17="Mayor"),CONCATENATE("R4C",'Mapa final'!$AL$17),"")</f>
        <v/>
      </c>
      <c r="AE39" s="37" t="e">
        <f>IF(AND('Mapa final'!#REF!="Baja",'Mapa final'!#REF!="Mayor"),CONCATENATE("R4C",'Mapa final'!#REF!),"")</f>
        <v>#REF!</v>
      </c>
      <c r="AF39" s="37" t="e">
        <f>IF(AND('Mapa final'!#REF!="Baja",'Mapa final'!#REF!="Mayor"),CONCATENATE("R4C",'Mapa final'!#REF!),"")</f>
        <v>#REF!</v>
      </c>
      <c r="AG39" s="38" t="e">
        <f>IF(AND('Mapa final'!#REF!="Baja",'Mapa final'!#REF!="Mayor"),CONCATENATE("R4C",'Mapa final'!#REF!),"")</f>
        <v>#REF!</v>
      </c>
      <c r="AH39" s="39" t="str">
        <f ca="1">IF(AND('Mapa final'!$AY$15="Baja",'Mapa final'!$BA$15="Catastrófico"),CONCATENATE("R4C",'Mapa final'!$AL$15),"")</f>
        <v/>
      </c>
      <c r="AI39" s="40" t="str">
        <f>IF(AND('Mapa final'!$AY$16="Baja",'Mapa final'!$BA$16="Catastrófico"),CONCATENATE("R4C",'Mapa final'!$AL$16),"")</f>
        <v/>
      </c>
      <c r="AJ39" s="40" t="str">
        <f>IF(AND('Mapa final'!$AY$17="Baja",'Mapa final'!$BA$17="Catastrófico"),CONCATENATE("R4C",'Mapa final'!$AL$17),"")</f>
        <v/>
      </c>
      <c r="AK39" s="40" t="e">
        <f>IF(AND('Mapa final'!#REF!="Baja",'Mapa final'!#REF!="Catastrófico"),CONCATENATE("R4C",'Mapa final'!#REF!),"")</f>
        <v>#REF!</v>
      </c>
      <c r="AL39" s="40" t="e">
        <f>IF(AND('Mapa final'!#REF!="Baja",'Mapa final'!#REF!="Catastrófico"),CONCATENATE("R4C",'Mapa final'!#REF!),"")</f>
        <v>#REF!</v>
      </c>
      <c r="AM39" s="41" t="e">
        <f>IF(AND('Mapa final'!#REF!="Baja",'Mapa final'!#REF!="Catastrófico"),CONCATENATE("R4C",'Mapa final'!#REF!),"")</f>
        <v>#REF!</v>
      </c>
      <c r="AN39" s="1"/>
      <c r="AO39" s="267"/>
      <c r="AP39" s="170"/>
      <c r="AQ39" s="170"/>
      <c r="AR39" s="170"/>
      <c r="AS39" s="170"/>
      <c r="AT39" s="268"/>
      <c r="AU39" s="1"/>
      <c r="AV39" s="1"/>
      <c r="AW39" s="1"/>
      <c r="AX39" s="1"/>
      <c r="AY39" s="1"/>
      <c r="AZ39" s="1"/>
      <c r="BA39" s="1"/>
      <c r="BB39" s="1"/>
      <c r="BC39" s="1"/>
      <c r="BD39" s="1"/>
      <c r="BE39" s="1"/>
      <c r="BF39" s="1"/>
      <c r="BG39" s="1"/>
      <c r="BH39" s="1"/>
      <c r="BI39" s="1"/>
    </row>
    <row r="40" spans="1:61" ht="15" customHeight="1" x14ac:dyDescent="0.25">
      <c r="A40" s="1"/>
      <c r="B40" s="258"/>
      <c r="C40" s="170"/>
      <c r="D40" s="171"/>
      <c r="E40" s="182"/>
      <c r="F40" s="170"/>
      <c r="G40" s="170"/>
      <c r="H40" s="170"/>
      <c r="I40" s="170"/>
      <c r="J40" s="60" t="str">
        <f ca="1">IF(AND('Mapa final'!$AY$18="Baja",'Mapa final'!$BA$18="Leve"),CONCATENATE("R5C",'Mapa final'!$AL$18),"")</f>
        <v/>
      </c>
      <c r="K40" s="61" t="e">
        <f>IF(AND('Mapa final'!#REF!="Baja",'Mapa final'!#REF!="Leve"),CONCATENATE("R5C",'Mapa final'!#REF!),"")</f>
        <v>#REF!</v>
      </c>
      <c r="L40" s="61" t="e">
        <f>IF(AND('Mapa final'!#REF!="Baja",'Mapa final'!#REF!="Leve"),CONCATENATE("R5C",'Mapa final'!#REF!),"")</f>
        <v>#REF!</v>
      </c>
      <c r="M40" s="61" t="e">
        <f>IF(AND('Mapa final'!#REF!="Baja",'Mapa final'!#REF!="Leve"),CONCATENATE("R5C",'Mapa final'!#REF!),"")</f>
        <v>#REF!</v>
      </c>
      <c r="N40" s="61" t="e">
        <f>IF(AND('Mapa final'!#REF!="Baja",'Mapa final'!#REF!="Leve"),CONCATENATE("R5C",'Mapa final'!#REF!),"")</f>
        <v>#REF!</v>
      </c>
      <c r="O40" s="62" t="e">
        <f>IF(AND('Mapa final'!#REF!="Baja",'Mapa final'!#REF!="Leve"),CONCATENATE("R5C",'Mapa final'!#REF!),"")</f>
        <v>#REF!</v>
      </c>
      <c r="P40" s="51" t="str">
        <f ca="1">IF(AND('Mapa final'!$AY$18="Baja",'Mapa final'!$BA$18="Menor"),CONCATENATE("R5C",'Mapa final'!$AL$18),"")</f>
        <v>R5C1</v>
      </c>
      <c r="Q40" s="52" t="e">
        <f>IF(AND('Mapa final'!#REF!="Baja",'Mapa final'!#REF!="Menor"),CONCATENATE("R5C",'Mapa final'!#REF!),"")</f>
        <v>#REF!</v>
      </c>
      <c r="R40" s="52" t="e">
        <f>IF(AND('Mapa final'!#REF!="Baja",'Mapa final'!#REF!="Menor"),CONCATENATE("R5C",'Mapa final'!#REF!),"")</f>
        <v>#REF!</v>
      </c>
      <c r="S40" s="52" t="e">
        <f>IF(AND('Mapa final'!#REF!="Baja",'Mapa final'!#REF!="Menor"),CONCATENATE("R5C",'Mapa final'!#REF!),"")</f>
        <v>#REF!</v>
      </c>
      <c r="T40" s="52" t="e">
        <f>IF(AND('Mapa final'!#REF!="Baja",'Mapa final'!#REF!="Menor"),CONCATENATE("R5C",'Mapa final'!#REF!),"")</f>
        <v>#REF!</v>
      </c>
      <c r="U40" s="53" t="e">
        <f>IF(AND('Mapa final'!#REF!="Baja",'Mapa final'!#REF!="Menor"),CONCATENATE("R5C",'Mapa final'!#REF!),"")</f>
        <v>#REF!</v>
      </c>
      <c r="V40" s="51" t="str">
        <f ca="1">IF(AND('Mapa final'!$AY$18="Baja",'Mapa final'!$BA$18="Moderado"),CONCATENATE("R5C",'Mapa final'!$AL$18),"")</f>
        <v/>
      </c>
      <c r="W40" s="52" t="e">
        <f>IF(AND('Mapa final'!#REF!="Baja",'Mapa final'!#REF!="Moderado"),CONCATENATE("R5C",'Mapa final'!#REF!),"")</f>
        <v>#REF!</v>
      </c>
      <c r="X40" s="52" t="e">
        <f>IF(AND('Mapa final'!#REF!="Baja",'Mapa final'!#REF!="Moderado"),CONCATENATE("R5C",'Mapa final'!#REF!),"")</f>
        <v>#REF!</v>
      </c>
      <c r="Y40" s="52" t="e">
        <f>IF(AND('Mapa final'!#REF!="Baja",'Mapa final'!#REF!="Moderado"),CONCATENATE("R5C",'Mapa final'!#REF!),"")</f>
        <v>#REF!</v>
      </c>
      <c r="Z40" s="52" t="e">
        <f>IF(AND('Mapa final'!#REF!="Baja",'Mapa final'!#REF!="Moderado"),CONCATENATE("R5C",'Mapa final'!#REF!),"")</f>
        <v>#REF!</v>
      </c>
      <c r="AA40" s="53" t="e">
        <f>IF(AND('Mapa final'!#REF!="Baja",'Mapa final'!#REF!="Moderado"),CONCATENATE("R5C",'Mapa final'!#REF!),"")</f>
        <v>#REF!</v>
      </c>
      <c r="AB40" s="36" t="str">
        <f ca="1">IF(AND('Mapa final'!$AY$18="Baja",'Mapa final'!$BA$18="Mayor"),CONCATENATE("R5C",'Mapa final'!$AL$18),"")</f>
        <v/>
      </c>
      <c r="AC40" s="37" t="e">
        <f>IF(AND('Mapa final'!#REF!="Baja",'Mapa final'!#REF!="Mayor"),CONCATENATE("R5C",'Mapa final'!#REF!),"")</f>
        <v>#REF!</v>
      </c>
      <c r="AD40" s="37" t="e">
        <f>IF(AND('Mapa final'!#REF!="Baja",'Mapa final'!#REF!="Mayor"),CONCATENATE("R5C",'Mapa final'!#REF!),"")</f>
        <v>#REF!</v>
      </c>
      <c r="AE40" s="37" t="e">
        <f>IF(AND('Mapa final'!#REF!="Baja",'Mapa final'!#REF!="Mayor"),CONCATENATE("R5C",'Mapa final'!#REF!),"")</f>
        <v>#REF!</v>
      </c>
      <c r="AF40" s="37" t="e">
        <f>IF(AND('Mapa final'!#REF!="Baja",'Mapa final'!#REF!="Mayor"),CONCATENATE("R5C",'Mapa final'!#REF!),"")</f>
        <v>#REF!</v>
      </c>
      <c r="AG40" s="38" t="e">
        <f>IF(AND('Mapa final'!#REF!="Baja",'Mapa final'!#REF!="Mayor"),CONCATENATE("R5C",'Mapa final'!#REF!),"")</f>
        <v>#REF!</v>
      </c>
      <c r="AH40" s="39" t="str">
        <f ca="1">IF(AND('Mapa final'!$AY$18="Baja",'Mapa final'!$BA$18="Catastrófico"),CONCATENATE("R5C",'Mapa final'!$AL$18),"")</f>
        <v/>
      </c>
      <c r="AI40" s="40" t="e">
        <f>IF(AND('Mapa final'!#REF!="Baja",'Mapa final'!#REF!="Catastrófico"),CONCATENATE("R5C",'Mapa final'!#REF!),"")</f>
        <v>#REF!</v>
      </c>
      <c r="AJ40" s="40" t="e">
        <f>IF(AND('Mapa final'!#REF!="Baja",'Mapa final'!#REF!="Catastrófico"),CONCATENATE("R5C",'Mapa final'!#REF!),"")</f>
        <v>#REF!</v>
      </c>
      <c r="AK40" s="40" t="e">
        <f>IF(AND('Mapa final'!#REF!="Baja",'Mapa final'!#REF!="Catastrófico"),CONCATENATE("R5C",'Mapa final'!#REF!),"")</f>
        <v>#REF!</v>
      </c>
      <c r="AL40" s="40" t="e">
        <f>IF(AND('Mapa final'!#REF!="Baja",'Mapa final'!#REF!="Catastrófico"),CONCATENATE("R5C",'Mapa final'!#REF!),"")</f>
        <v>#REF!</v>
      </c>
      <c r="AM40" s="41" t="e">
        <f>IF(AND('Mapa final'!#REF!="Baja",'Mapa final'!#REF!="Catastrófico"),CONCATENATE("R5C",'Mapa final'!#REF!),"")</f>
        <v>#REF!</v>
      </c>
      <c r="AN40" s="1"/>
      <c r="AO40" s="267"/>
      <c r="AP40" s="170"/>
      <c r="AQ40" s="170"/>
      <c r="AR40" s="170"/>
      <c r="AS40" s="170"/>
      <c r="AT40" s="268"/>
      <c r="AU40" s="1"/>
      <c r="AV40" s="1"/>
      <c r="AW40" s="1"/>
      <c r="AX40" s="1"/>
      <c r="AY40" s="1"/>
      <c r="AZ40" s="1"/>
      <c r="BA40" s="1"/>
      <c r="BB40" s="1"/>
      <c r="BC40" s="1"/>
      <c r="BD40" s="1"/>
      <c r="BE40" s="1"/>
      <c r="BF40" s="1"/>
      <c r="BG40" s="1"/>
      <c r="BH40" s="1"/>
      <c r="BI40" s="1"/>
    </row>
    <row r="41" spans="1:61" ht="15" customHeight="1" x14ac:dyDescent="0.25">
      <c r="A41" s="1"/>
      <c r="B41" s="258"/>
      <c r="C41" s="170"/>
      <c r="D41" s="171"/>
      <c r="E41" s="182"/>
      <c r="F41" s="170"/>
      <c r="G41" s="170"/>
      <c r="H41" s="170"/>
      <c r="I41" s="170"/>
      <c r="J41" s="60" t="str">
        <f ca="1">IF(AND('Mapa final'!$AY$19="Baja",'Mapa final'!$BA$19="Leve"),CONCATENATE("R6C",'Mapa final'!$AL$19),"")</f>
        <v/>
      </c>
      <c r="K41" s="61" t="str">
        <f ca="1">IF(AND('Mapa final'!$AY$20="Baja",'Mapa final'!$BA$20="Leve"),CONCATENATE("R6C",'Mapa final'!$AL$20),"")</f>
        <v/>
      </c>
      <c r="L41" s="61" t="e">
        <f>IF(AND('Mapa final'!#REF!="Baja",'Mapa final'!#REF!="Leve"),CONCATENATE("R6C",'Mapa final'!#REF!),"")</f>
        <v>#REF!</v>
      </c>
      <c r="M41" s="61" t="e">
        <f>IF(AND('Mapa final'!#REF!="Baja",'Mapa final'!#REF!="Leve"),CONCATENATE("R6C",'Mapa final'!#REF!),"")</f>
        <v>#REF!</v>
      </c>
      <c r="N41" s="61" t="e">
        <f>IF(AND('Mapa final'!#REF!="Baja",'Mapa final'!#REF!="Leve"),CONCATENATE("R6C",'Mapa final'!#REF!),"")</f>
        <v>#REF!</v>
      </c>
      <c r="O41" s="62" t="e">
        <f>IF(AND('Mapa final'!#REF!="Baja",'Mapa final'!#REF!="Leve"),CONCATENATE("R6C",'Mapa final'!#REF!),"")</f>
        <v>#REF!</v>
      </c>
      <c r="P41" s="51" t="str">
        <f ca="1">IF(AND('Mapa final'!$AY$19="Baja",'Mapa final'!$BA$19="Menor"),CONCATENATE("R6C",'Mapa final'!$AL$19),"")</f>
        <v/>
      </c>
      <c r="Q41" s="52" t="str">
        <f ca="1">IF(AND('Mapa final'!$AY$20="Baja",'Mapa final'!$BA$20="Menor"),CONCATENATE("R6C",'Mapa final'!$AL$20),"")</f>
        <v>R6C2</v>
      </c>
      <c r="R41" s="52" t="e">
        <f>IF(AND('Mapa final'!#REF!="Baja",'Mapa final'!#REF!="Menor"),CONCATENATE("R6C",'Mapa final'!#REF!),"")</f>
        <v>#REF!</v>
      </c>
      <c r="S41" s="52" t="e">
        <f>IF(AND('Mapa final'!#REF!="Baja",'Mapa final'!#REF!="Menor"),CONCATENATE("R6C",'Mapa final'!#REF!),"")</f>
        <v>#REF!</v>
      </c>
      <c r="T41" s="52" t="e">
        <f>IF(AND('Mapa final'!#REF!="Baja",'Mapa final'!#REF!="Menor"),CONCATENATE("R6C",'Mapa final'!#REF!),"")</f>
        <v>#REF!</v>
      </c>
      <c r="U41" s="53" t="e">
        <f>IF(AND('Mapa final'!#REF!="Baja",'Mapa final'!#REF!="Menor"),CONCATENATE("R6C",'Mapa final'!#REF!),"")</f>
        <v>#REF!</v>
      </c>
      <c r="V41" s="51" t="str">
        <f ca="1">IF(AND('Mapa final'!$AY$19="Baja",'Mapa final'!$BA$19="Moderado"),CONCATENATE("R6C",'Mapa final'!$AL$19),"")</f>
        <v>R6C1</v>
      </c>
      <c r="W41" s="52" t="str">
        <f ca="1">IF(AND('Mapa final'!$AY$20="Baja",'Mapa final'!$BA$20="Moderado"),CONCATENATE("R6C",'Mapa final'!$AL$20),"")</f>
        <v/>
      </c>
      <c r="X41" s="52" t="e">
        <f>IF(AND('Mapa final'!#REF!="Baja",'Mapa final'!#REF!="Moderado"),CONCATENATE("R6C",'Mapa final'!#REF!),"")</f>
        <v>#REF!</v>
      </c>
      <c r="Y41" s="52" t="e">
        <f>IF(AND('Mapa final'!#REF!="Baja",'Mapa final'!#REF!="Moderado"),CONCATENATE("R6C",'Mapa final'!#REF!),"")</f>
        <v>#REF!</v>
      </c>
      <c r="Z41" s="52" t="e">
        <f>IF(AND('Mapa final'!#REF!="Baja",'Mapa final'!#REF!="Moderado"),CONCATENATE("R6C",'Mapa final'!#REF!),"")</f>
        <v>#REF!</v>
      </c>
      <c r="AA41" s="53" t="e">
        <f>IF(AND('Mapa final'!#REF!="Baja",'Mapa final'!#REF!="Moderado"),CONCATENATE("R6C",'Mapa final'!#REF!),"")</f>
        <v>#REF!</v>
      </c>
      <c r="AB41" s="36" t="str">
        <f ca="1">IF(AND('Mapa final'!$AY$19="Baja",'Mapa final'!$BA$19="Mayor"),CONCATENATE("R6C",'Mapa final'!$AL$19),"")</f>
        <v/>
      </c>
      <c r="AC41" s="37" t="str">
        <f ca="1">IF(AND('Mapa final'!$AY$20="Baja",'Mapa final'!$BA$20="Mayor"),CONCATENATE("R6C",'Mapa final'!$AL$20),"")</f>
        <v/>
      </c>
      <c r="AD41" s="37" t="e">
        <f>IF(AND('Mapa final'!#REF!="Baja",'Mapa final'!#REF!="Mayor"),CONCATENATE("R6C",'Mapa final'!#REF!),"")</f>
        <v>#REF!</v>
      </c>
      <c r="AE41" s="37" t="e">
        <f>IF(AND('Mapa final'!#REF!="Baja",'Mapa final'!#REF!="Mayor"),CONCATENATE("R6C",'Mapa final'!#REF!),"")</f>
        <v>#REF!</v>
      </c>
      <c r="AF41" s="37" t="e">
        <f>IF(AND('Mapa final'!#REF!="Baja",'Mapa final'!#REF!="Mayor"),CONCATENATE("R6C",'Mapa final'!#REF!),"")</f>
        <v>#REF!</v>
      </c>
      <c r="AG41" s="38" t="e">
        <f>IF(AND('Mapa final'!#REF!="Baja",'Mapa final'!#REF!="Mayor"),CONCATENATE("R6C",'Mapa final'!#REF!),"")</f>
        <v>#REF!</v>
      </c>
      <c r="AH41" s="39" t="str">
        <f ca="1">IF(AND('Mapa final'!$AY$19="Baja",'Mapa final'!$BA$19="Catastrófico"),CONCATENATE("R6C",'Mapa final'!$AL$19),"")</f>
        <v/>
      </c>
      <c r="AI41" s="40" t="str">
        <f ca="1">IF(AND('Mapa final'!$AY$20="Baja",'Mapa final'!$BA$20="Catastrófico"),CONCATENATE("R6C",'Mapa final'!$AL$20),"")</f>
        <v/>
      </c>
      <c r="AJ41" s="40" t="e">
        <f>IF(AND('Mapa final'!#REF!="Baja",'Mapa final'!#REF!="Catastrófico"),CONCATENATE("R6C",'Mapa final'!#REF!),"")</f>
        <v>#REF!</v>
      </c>
      <c r="AK41" s="40" t="e">
        <f>IF(AND('Mapa final'!#REF!="Baja",'Mapa final'!#REF!="Catastrófico"),CONCATENATE("R6C",'Mapa final'!#REF!),"")</f>
        <v>#REF!</v>
      </c>
      <c r="AL41" s="40" t="e">
        <f>IF(AND('Mapa final'!#REF!="Baja",'Mapa final'!#REF!="Catastrófico"),CONCATENATE("R6C",'Mapa final'!#REF!),"")</f>
        <v>#REF!</v>
      </c>
      <c r="AM41" s="41" t="e">
        <f>IF(AND('Mapa final'!#REF!="Baja",'Mapa final'!#REF!="Catastrófico"),CONCATENATE("R6C",'Mapa final'!#REF!),"")</f>
        <v>#REF!</v>
      </c>
      <c r="AN41" s="1"/>
      <c r="AO41" s="267"/>
      <c r="AP41" s="170"/>
      <c r="AQ41" s="170"/>
      <c r="AR41" s="170"/>
      <c r="AS41" s="170"/>
      <c r="AT41" s="268"/>
      <c r="AU41" s="1"/>
      <c r="AV41" s="1"/>
      <c r="AW41" s="1"/>
      <c r="AX41" s="1"/>
      <c r="AY41" s="1"/>
      <c r="AZ41" s="1"/>
      <c r="BA41" s="1"/>
      <c r="BB41" s="1"/>
      <c r="BC41" s="1"/>
      <c r="BD41" s="1"/>
      <c r="BE41" s="1"/>
      <c r="BF41" s="1"/>
      <c r="BG41" s="1"/>
      <c r="BH41" s="1"/>
      <c r="BI41" s="1"/>
    </row>
    <row r="42" spans="1:61" ht="15" customHeight="1" x14ac:dyDescent="0.25">
      <c r="A42" s="1"/>
      <c r="B42" s="258"/>
      <c r="C42" s="170"/>
      <c r="D42" s="171"/>
      <c r="E42" s="182"/>
      <c r="F42" s="170"/>
      <c r="G42" s="170"/>
      <c r="H42" s="170"/>
      <c r="I42" s="170"/>
      <c r="J42" s="60" t="str">
        <f ca="1">IF(AND('Mapa final'!$AY$21="Baja",'Mapa final'!$BA$21="Leve"),CONCATENATE("R7C",'Mapa final'!$AL$21),"")</f>
        <v/>
      </c>
      <c r="K42" s="61" t="str">
        <f ca="1">IF(AND('Mapa final'!$AY$22="Baja",'Mapa final'!$BA$22="Leve"),CONCATENATE("R7C",'Mapa final'!$AL$22),"")</f>
        <v/>
      </c>
      <c r="L42" s="61" t="e">
        <f>IF(AND('Mapa final'!#REF!="Baja",'Mapa final'!#REF!="Leve"),CONCATENATE("R7C",'Mapa final'!#REF!),"")</f>
        <v>#REF!</v>
      </c>
      <c r="M42" s="61" t="e">
        <f>IF(AND('Mapa final'!#REF!="Baja",'Mapa final'!#REF!="Leve"),CONCATENATE("R7C",'Mapa final'!#REF!),"")</f>
        <v>#REF!</v>
      </c>
      <c r="N42" s="61" t="e">
        <f>IF(AND('Mapa final'!#REF!="Baja",'Mapa final'!#REF!="Leve"),CONCATENATE("R7C",'Mapa final'!#REF!),"")</f>
        <v>#REF!</v>
      </c>
      <c r="O42" s="62" t="e">
        <f>IF(AND('Mapa final'!#REF!="Baja",'Mapa final'!#REF!="Leve"),CONCATENATE("R7C",'Mapa final'!#REF!),"")</f>
        <v>#REF!</v>
      </c>
      <c r="P42" s="51" t="str">
        <f ca="1">IF(AND('Mapa final'!$AY$21="Baja",'Mapa final'!$BA$21="Menor"),CONCATENATE("R7C",'Mapa final'!$AL$21),"")</f>
        <v/>
      </c>
      <c r="Q42" s="52" t="str">
        <f ca="1">IF(AND('Mapa final'!$AY$22="Baja",'Mapa final'!$BA$22="Menor"),CONCATENATE("R7C",'Mapa final'!$AL$22),"")</f>
        <v/>
      </c>
      <c r="R42" s="52" t="e">
        <f>IF(AND('Mapa final'!#REF!="Baja",'Mapa final'!#REF!="Menor"),CONCATENATE("R7C",'Mapa final'!#REF!),"")</f>
        <v>#REF!</v>
      </c>
      <c r="S42" s="52" t="e">
        <f>IF(AND('Mapa final'!#REF!="Baja",'Mapa final'!#REF!="Menor"),CONCATENATE("R7C",'Mapa final'!#REF!),"")</f>
        <v>#REF!</v>
      </c>
      <c r="T42" s="52" t="e">
        <f>IF(AND('Mapa final'!#REF!="Baja",'Mapa final'!#REF!="Menor"),CONCATENATE("R7C",'Mapa final'!#REF!),"")</f>
        <v>#REF!</v>
      </c>
      <c r="U42" s="53" t="e">
        <f>IF(AND('Mapa final'!#REF!="Baja",'Mapa final'!#REF!="Menor"),CONCATENATE("R7C",'Mapa final'!#REF!),"")</f>
        <v>#REF!</v>
      </c>
      <c r="V42" s="51" t="str">
        <f ca="1">IF(AND('Mapa final'!$AY$21="Baja",'Mapa final'!$BA$21="Moderado"),CONCATENATE("R7C",'Mapa final'!$AL$21),"")</f>
        <v>R7C1</v>
      </c>
      <c r="W42" s="52" t="str">
        <f ca="1">IF(AND('Mapa final'!$AY$22="Baja",'Mapa final'!$BA$22="Moderado"),CONCATENATE("R7C",'Mapa final'!$AL$22),"")</f>
        <v>R7C2</v>
      </c>
      <c r="X42" s="52" t="e">
        <f>IF(AND('Mapa final'!#REF!="Baja",'Mapa final'!#REF!="Moderado"),CONCATENATE("R7C",'Mapa final'!#REF!),"")</f>
        <v>#REF!</v>
      </c>
      <c r="Y42" s="52" t="e">
        <f>IF(AND('Mapa final'!#REF!="Baja",'Mapa final'!#REF!="Moderado"),CONCATENATE("R7C",'Mapa final'!#REF!),"")</f>
        <v>#REF!</v>
      </c>
      <c r="Z42" s="52" t="e">
        <f>IF(AND('Mapa final'!#REF!="Baja",'Mapa final'!#REF!="Moderado"),CONCATENATE("R7C",'Mapa final'!#REF!),"")</f>
        <v>#REF!</v>
      </c>
      <c r="AA42" s="53" t="e">
        <f>IF(AND('Mapa final'!#REF!="Baja",'Mapa final'!#REF!="Moderado"),CONCATENATE("R7C",'Mapa final'!#REF!),"")</f>
        <v>#REF!</v>
      </c>
      <c r="AB42" s="36" t="str">
        <f ca="1">IF(AND('Mapa final'!$AY$21="Baja",'Mapa final'!$BA$21="Mayor"),CONCATENATE("R7C",'Mapa final'!$AL$21),"")</f>
        <v/>
      </c>
      <c r="AC42" s="37" t="str">
        <f ca="1">IF(AND('Mapa final'!$AY$22="Baja",'Mapa final'!$BA$22="Mayor"),CONCATENATE("R7C",'Mapa final'!$AL$22),"")</f>
        <v/>
      </c>
      <c r="AD42" s="37" t="e">
        <f>IF(AND('Mapa final'!#REF!="Baja",'Mapa final'!#REF!="Mayor"),CONCATENATE("R7C",'Mapa final'!#REF!),"")</f>
        <v>#REF!</v>
      </c>
      <c r="AE42" s="37" t="e">
        <f>IF(AND('Mapa final'!#REF!="Baja",'Mapa final'!#REF!="Mayor"),CONCATENATE("R7C",'Mapa final'!#REF!),"")</f>
        <v>#REF!</v>
      </c>
      <c r="AF42" s="37" t="e">
        <f>IF(AND('Mapa final'!#REF!="Baja",'Mapa final'!#REF!="Mayor"),CONCATENATE("R7C",'Mapa final'!#REF!),"")</f>
        <v>#REF!</v>
      </c>
      <c r="AG42" s="38" t="e">
        <f>IF(AND('Mapa final'!#REF!="Baja",'Mapa final'!#REF!="Mayor"),CONCATENATE("R7C",'Mapa final'!#REF!),"")</f>
        <v>#REF!</v>
      </c>
      <c r="AH42" s="39" t="str">
        <f ca="1">IF(AND('Mapa final'!$AY$21="Baja",'Mapa final'!$BA$21="Catastrófico"),CONCATENATE("R7C",'Mapa final'!$AL$21),"")</f>
        <v/>
      </c>
      <c r="AI42" s="40" t="str">
        <f ca="1">IF(AND('Mapa final'!$AY$22="Baja",'Mapa final'!$BA$22="Catastrófico"),CONCATENATE("R7C",'Mapa final'!$AL$22),"")</f>
        <v/>
      </c>
      <c r="AJ42" s="40" t="e">
        <f>IF(AND('Mapa final'!#REF!="Baja",'Mapa final'!#REF!="Catastrófico"),CONCATENATE("R7C",'Mapa final'!#REF!),"")</f>
        <v>#REF!</v>
      </c>
      <c r="AK42" s="40" t="e">
        <f>IF(AND('Mapa final'!#REF!="Baja",'Mapa final'!#REF!="Catastrófico"),CONCATENATE("R7C",'Mapa final'!#REF!),"")</f>
        <v>#REF!</v>
      </c>
      <c r="AL42" s="40" t="e">
        <f>IF(AND('Mapa final'!#REF!="Baja",'Mapa final'!#REF!="Catastrófico"),CONCATENATE("R7C",'Mapa final'!#REF!),"")</f>
        <v>#REF!</v>
      </c>
      <c r="AM42" s="41" t="e">
        <f>IF(AND('Mapa final'!#REF!="Baja",'Mapa final'!#REF!="Catastrófico"),CONCATENATE("R7C",'Mapa final'!#REF!),"")</f>
        <v>#REF!</v>
      </c>
      <c r="AN42" s="1"/>
      <c r="AO42" s="267"/>
      <c r="AP42" s="170"/>
      <c r="AQ42" s="170"/>
      <c r="AR42" s="170"/>
      <c r="AS42" s="170"/>
      <c r="AT42" s="268"/>
      <c r="AU42" s="1"/>
      <c r="AV42" s="1"/>
      <c r="AW42" s="1"/>
      <c r="AX42" s="1"/>
      <c r="AY42" s="1"/>
      <c r="AZ42" s="1"/>
      <c r="BA42" s="1"/>
      <c r="BB42" s="1"/>
      <c r="BC42" s="1"/>
      <c r="BD42" s="1"/>
      <c r="BE42" s="1"/>
      <c r="BF42" s="1"/>
      <c r="BG42" s="1"/>
      <c r="BH42" s="1"/>
      <c r="BI42" s="1"/>
    </row>
    <row r="43" spans="1:61" ht="15" customHeight="1" x14ac:dyDescent="0.25">
      <c r="A43" s="1"/>
      <c r="B43" s="258"/>
      <c r="C43" s="170"/>
      <c r="D43" s="171"/>
      <c r="E43" s="182"/>
      <c r="F43" s="170"/>
      <c r="G43" s="170"/>
      <c r="H43" s="170"/>
      <c r="I43" s="170"/>
      <c r="J43" s="60" t="str">
        <f ca="1">IF(AND('Mapa final'!$AY$23="Baja",'Mapa final'!$BA$23="Leve"),CONCATENATE("R8C",'Mapa final'!$AL$23),"")</f>
        <v/>
      </c>
      <c r="K43" s="61" t="e">
        <f>IF(AND('Mapa final'!#REF!="Baja",'Mapa final'!#REF!="Leve"),CONCATENATE("R8C",'Mapa final'!#REF!),"")</f>
        <v>#REF!</v>
      </c>
      <c r="L43" s="61" t="e">
        <f>IF(AND('Mapa final'!#REF!="Baja",'Mapa final'!#REF!="Leve"),CONCATENATE("R8C",'Mapa final'!#REF!),"")</f>
        <v>#REF!</v>
      </c>
      <c r="M43" s="61" t="e">
        <f>IF(AND('Mapa final'!#REF!="Baja",'Mapa final'!#REF!="Leve"),CONCATENATE("R8C",'Mapa final'!#REF!),"")</f>
        <v>#REF!</v>
      </c>
      <c r="N43" s="61" t="e">
        <f>IF(AND('Mapa final'!#REF!="Baja",'Mapa final'!#REF!="Leve"),CONCATENATE("R8C",'Mapa final'!#REF!),"")</f>
        <v>#REF!</v>
      </c>
      <c r="O43" s="62" t="e">
        <f>IF(AND('Mapa final'!#REF!="Baja",'Mapa final'!#REF!="Leve"),CONCATENATE("R8C",'Mapa final'!#REF!),"")</f>
        <v>#REF!</v>
      </c>
      <c r="P43" s="51" t="str">
        <f ca="1">IF(AND('Mapa final'!$AY$23="Baja",'Mapa final'!$BA$23="Menor"),CONCATENATE("R8C",'Mapa final'!$AL$23),"")</f>
        <v/>
      </c>
      <c r="Q43" s="52" t="e">
        <f>IF(AND('Mapa final'!#REF!="Baja",'Mapa final'!#REF!="Menor"),CONCATENATE("R8C",'Mapa final'!#REF!),"")</f>
        <v>#REF!</v>
      </c>
      <c r="R43" s="52" t="e">
        <f>IF(AND('Mapa final'!#REF!="Baja",'Mapa final'!#REF!="Menor"),CONCATENATE("R8C",'Mapa final'!#REF!),"")</f>
        <v>#REF!</v>
      </c>
      <c r="S43" s="52" t="e">
        <f>IF(AND('Mapa final'!#REF!="Baja",'Mapa final'!#REF!="Menor"),CONCATENATE("R8C",'Mapa final'!#REF!),"")</f>
        <v>#REF!</v>
      </c>
      <c r="T43" s="52" t="e">
        <f>IF(AND('Mapa final'!#REF!="Baja",'Mapa final'!#REF!="Menor"),CONCATENATE("R8C",'Mapa final'!#REF!),"")</f>
        <v>#REF!</v>
      </c>
      <c r="U43" s="53" t="e">
        <f>IF(AND('Mapa final'!#REF!="Baja",'Mapa final'!#REF!="Menor"),CONCATENATE("R8C",'Mapa final'!#REF!),"")</f>
        <v>#REF!</v>
      </c>
      <c r="V43" s="51" t="str">
        <f ca="1">IF(AND('Mapa final'!$AY$23="Baja",'Mapa final'!$BA$23="Moderado"),CONCATENATE("R8C",'Mapa final'!$AL$23),"")</f>
        <v>R8C1</v>
      </c>
      <c r="W43" s="52" t="e">
        <f>IF(AND('Mapa final'!#REF!="Baja",'Mapa final'!#REF!="Moderado"),CONCATENATE("R8C",'Mapa final'!#REF!),"")</f>
        <v>#REF!</v>
      </c>
      <c r="X43" s="52" t="e">
        <f>IF(AND('Mapa final'!#REF!="Baja",'Mapa final'!#REF!="Moderado"),CONCATENATE("R8C",'Mapa final'!#REF!),"")</f>
        <v>#REF!</v>
      </c>
      <c r="Y43" s="52" t="e">
        <f>IF(AND('Mapa final'!#REF!="Baja",'Mapa final'!#REF!="Moderado"),CONCATENATE("R8C",'Mapa final'!#REF!),"")</f>
        <v>#REF!</v>
      </c>
      <c r="Z43" s="52" t="e">
        <f>IF(AND('Mapa final'!#REF!="Baja",'Mapa final'!#REF!="Moderado"),CONCATENATE("R8C",'Mapa final'!#REF!),"")</f>
        <v>#REF!</v>
      </c>
      <c r="AA43" s="53" t="e">
        <f>IF(AND('Mapa final'!#REF!="Baja",'Mapa final'!#REF!="Moderado"),CONCATENATE("R8C",'Mapa final'!#REF!),"")</f>
        <v>#REF!</v>
      </c>
      <c r="AB43" s="36" t="str">
        <f ca="1">IF(AND('Mapa final'!$AY$23="Baja",'Mapa final'!$BA$23="Mayor"),CONCATENATE("R8C",'Mapa final'!$AL$23),"")</f>
        <v/>
      </c>
      <c r="AC43" s="37" t="e">
        <f>IF(AND('Mapa final'!#REF!="Baja",'Mapa final'!#REF!="Mayor"),CONCATENATE("R8C",'Mapa final'!#REF!),"")</f>
        <v>#REF!</v>
      </c>
      <c r="AD43" s="37" t="e">
        <f>IF(AND('Mapa final'!#REF!="Baja",'Mapa final'!#REF!="Mayor"),CONCATENATE("R8C",'Mapa final'!#REF!),"")</f>
        <v>#REF!</v>
      </c>
      <c r="AE43" s="37" t="e">
        <f>IF(AND('Mapa final'!#REF!="Baja",'Mapa final'!#REF!="Mayor"),CONCATENATE("R8C",'Mapa final'!#REF!),"")</f>
        <v>#REF!</v>
      </c>
      <c r="AF43" s="37" t="e">
        <f>IF(AND('Mapa final'!#REF!="Baja",'Mapa final'!#REF!="Mayor"),CONCATENATE("R8C",'Mapa final'!#REF!),"")</f>
        <v>#REF!</v>
      </c>
      <c r="AG43" s="38" t="e">
        <f>IF(AND('Mapa final'!#REF!="Baja",'Mapa final'!#REF!="Mayor"),CONCATENATE("R8C",'Mapa final'!#REF!),"")</f>
        <v>#REF!</v>
      </c>
      <c r="AH43" s="39" t="str">
        <f ca="1">IF(AND('Mapa final'!$AY$23="Baja",'Mapa final'!$BA$23="Catastrófico"),CONCATENATE("R8C",'Mapa final'!$AL$23),"")</f>
        <v/>
      </c>
      <c r="AI43" s="40" t="e">
        <f>IF(AND('Mapa final'!#REF!="Baja",'Mapa final'!#REF!="Catastrófico"),CONCATENATE("R8C",'Mapa final'!#REF!),"")</f>
        <v>#REF!</v>
      </c>
      <c r="AJ43" s="40" t="e">
        <f>IF(AND('Mapa final'!#REF!="Baja",'Mapa final'!#REF!="Catastrófico"),CONCATENATE("R8C",'Mapa final'!#REF!),"")</f>
        <v>#REF!</v>
      </c>
      <c r="AK43" s="40" t="e">
        <f>IF(AND('Mapa final'!#REF!="Baja",'Mapa final'!#REF!="Catastrófico"),CONCATENATE("R8C",'Mapa final'!#REF!),"")</f>
        <v>#REF!</v>
      </c>
      <c r="AL43" s="40" t="e">
        <f>IF(AND('Mapa final'!#REF!="Baja",'Mapa final'!#REF!="Catastrófico"),CONCATENATE("R8C",'Mapa final'!#REF!),"")</f>
        <v>#REF!</v>
      </c>
      <c r="AM43" s="41" t="e">
        <f>IF(AND('Mapa final'!#REF!="Baja",'Mapa final'!#REF!="Catastrófico"),CONCATENATE("R8C",'Mapa final'!#REF!),"")</f>
        <v>#REF!</v>
      </c>
      <c r="AN43" s="1"/>
      <c r="AO43" s="267"/>
      <c r="AP43" s="170"/>
      <c r="AQ43" s="170"/>
      <c r="AR43" s="170"/>
      <c r="AS43" s="170"/>
      <c r="AT43" s="268"/>
      <c r="AU43" s="1"/>
      <c r="AV43" s="1"/>
      <c r="AW43" s="1"/>
      <c r="AX43" s="1"/>
      <c r="AY43" s="1"/>
      <c r="AZ43" s="1"/>
      <c r="BA43" s="1"/>
      <c r="BB43" s="1"/>
      <c r="BC43" s="1"/>
      <c r="BD43" s="1"/>
      <c r="BE43" s="1"/>
      <c r="BF43" s="1"/>
      <c r="BG43" s="1"/>
      <c r="BH43" s="1"/>
      <c r="BI43" s="1"/>
    </row>
    <row r="44" spans="1:61" ht="15" customHeight="1" x14ac:dyDescent="0.25">
      <c r="A44" s="1"/>
      <c r="B44" s="258"/>
      <c r="C44" s="170"/>
      <c r="D44" s="171"/>
      <c r="E44" s="182"/>
      <c r="F44" s="170"/>
      <c r="G44" s="170"/>
      <c r="H44" s="170"/>
      <c r="I44" s="170"/>
      <c r="J44" s="60" t="str">
        <f ca="1">IF(AND('Mapa final'!$AY$24="Baja",'Mapa final'!$BA$24="Leve"),CONCATENATE("R9C",'Mapa final'!$AL$24),"")</f>
        <v/>
      </c>
      <c r="K44" s="61" t="e">
        <f>IF(AND('Mapa final'!#REF!="Baja",'Mapa final'!#REF!="Leve"),CONCATENATE("R9C",'Mapa final'!#REF!),"")</f>
        <v>#REF!</v>
      </c>
      <c r="L44" s="61" t="e">
        <f>IF(AND('Mapa final'!#REF!="Baja",'Mapa final'!#REF!="Leve"),CONCATENATE("R9C",'Mapa final'!#REF!),"")</f>
        <v>#REF!</v>
      </c>
      <c r="M44" s="61" t="e">
        <f>IF(AND('Mapa final'!#REF!="Baja",'Mapa final'!#REF!="Leve"),CONCATENATE("R9C",'Mapa final'!#REF!),"")</f>
        <v>#REF!</v>
      </c>
      <c r="N44" s="61" t="e">
        <f>IF(AND('Mapa final'!#REF!="Baja",'Mapa final'!#REF!="Leve"),CONCATENATE("R9C",'Mapa final'!#REF!),"")</f>
        <v>#REF!</v>
      </c>
      <c r="O44" s="62" t="e">
        <f>IF(AND('Mapa final'!#REF!="Baja",'Mapa final'!#REF!="Leve"),CONCATENATE("R9C",'Mapa final'!#REF!),"")</f>
        <v>#REF!</v>
      </c>
      <c r="P44" s="51" t="str">
        <f ca="1">IF(AND('Mapa final'!$AY$24="Baja",'Mapa final'!$BA$24="Menor"),CONCATENATE("R9C",'Mapa final'!$AL$24),"")</f>
        <v/>
      </c>
      <c r="Q44" s="52" t="e">
        <f>IF(AND('Mapa final'!#REF!="Baja",'Mapa final'!#REF!="Menor"),CONCATENATE("R9C",'Mapa final'!#REF!),"")</f>
        <v>#REF!</v>
      </c>
      <c r="R44" s="52" t="e">
        <f>IF(AND('Mapa final'!#REF!="Baja",'Mapa final'!#REF!="Menor"),CONCATENATE("R9C",'Mapa final'!#REF!),"")</f>
        <v>#REF!</v>
      </c>
      <c r="S44" s="52" t="e">
        <f>IF(AND('Mapa final'!#REF!="Baja",'Mapa final'!#REF!="Menor"),CONCATENATE("R9C",'Mapa final'!#REF!),"")</f>
        <v>#REF!</v>
      </c>
      <c r="T44" s="52" t="e">
        <f>IF(AND('Mapa final'!#REF!="Baja",'Mapa final'!#REF!="Menor"),CONCATENATE("R9C",'Mapa final'!#REF!),"")</f>
        <v>#REF!</v>
      </c>
      <c r="U44" s="53" t="e">
        <f>IF(AND('Mapa final'!#REF!="Baja",'Mapa final'!#REF!="Menor"),CONCATENATE("R9C",'Mapa final'!#REF!),"")</f>
        <v>#REF!</v>
      </c>
      <c r="V44" s="51" t="str">
        <f ca="1">IF(AND('Mapa final'!$AY$24="Baja",'Mapa final'!$BA$24="Moderado"),CONCATENATE("R9C",'Mapa final'!$AL$24),"")</f>
        <v>R9C1</v>
      </c>
      <c r="W44" s="52" t="e">
        <f>IF(AND('Mapa final'!#REF!="Baja",'Mapa final'!#REF!="Moderado"),CONCATENATE("R9C",'Mapa final'!#REF!),"")</f>
        <v>#REF!</v>
      </c>
      <c r="X44" s="52" t="e">
        <f>IF(AND('Mapa final'!#REF!="Baja",'Mapa final'!#REF!="Moderado"),CONCATENATE("R9C",'Mapa final'!#REF!),"")</f>
        <v>#REF!</v>
      </c>
      <c r="Y44" s="52" t="e">
        <f>IF(AND('Mapa final'!#REF!="Baja",'Mapa final'!#REF!="Moderado"),CONCATENATE("R9C",'Mapa final'!#REF!),"")</f>
        <v>#REF!</v>
      </c>
      <c r="Z44" s="52" t="e">
        <f>IF(AND('Mapa final'!#REF!="Baja",'Mapa final'!#REF!="Moderado"),CONCATENATE("R9C",'Mapa final'!#REF!),"")</f>
        <v>#REF!</v>
      </c>
      <c r="AA44" s="53" t="e">
        <f>IF(AND('Mapa final'!#REF!="Baja",'Mapa final'!#REF!="Moderado"),CONCATENATE("R9C",'Mapa final'!#REF!),"")</f>
        <v>#REF!</v>
      </c>
      <c r="AB44" s="36" t="str">
        <f ca="1">IF(AND('Mapa final'!$AY$24="Baja",'Mapa final'!$BA$24="Mayor"),CONCATENATE("R9C",'Mapa final'!$AL$24),"")</f>
        <v/>
      </c>
      <c r="AC44" s="37" t="e">
        <f>IF(AND('Mapa final'!#REF!="Baja",'Mapa final'!#REF!="Mayor"),CONCATENATE("R9C",'Mapa final'!#REF!),"")</f>
        <v>#REF!</v>
      </c>
      <c r="AD44" s="37" t="e">
        <f>IF(AND('Mapa final'!#REF!="Baja",'Mapa final'!#REF!="Mayor"),CONCATENATE("R9C",'Mapa final'!#REF!),"")</f>
        <v>#REF!</v>
      </c>
      <c r="AE44" s="37" t="e">
        <f>IF(AND('Mapa final'!#REF!="Baja",'Mapa final'!#REF!="Mayor"),CONCATENATE("R9C",'Mapa final'!#REF!),"")</f>
        <v>#REF!</v>
      </c>
      <c r="AF44" s="37" t="e">
        <f>IF(AND('Mapa final'!#REF!="Baja",'Mapa final'!#REF!="Mayor"),CONCATENATE("R9C",'Mapa final'!#REF!),"")</f>
        <v>#REF!</v>
      </c>
      <c r="AG44" s="38" t="e">
        <f>IF(AND('Mapa final'!#REF!="Baja",'Mapa final'!#REF!="Mayor"),CONCATENATE("R9C",'Mapa final'!#REF!),"")</f>
        <v>#REF!</v>
      </c>
      <c r="AH44" s="39" t="str">
        <f ca="1">IF(AND('Mapa final'!$AY$24="Baja",'Mapa final'!$BA$24="Catastrófico"),CONCATENATE("R9C",'Mapa final'!$AL$24),"")</f>
        <v/>
      </c>
      <c r="AI44" s="40" t="e">
        <f>IF(AND('Mapa final'!#REF!="Baja",'Mapa final'!#REF!="Catastrófico"),CONCATENATE("R9C",'Mapa final'!#REF!),"")</f>
        <v>#REF!</v>
      </c>
      <c r="AJ44" s="40" t="e">
        <f>IF(AND('Mapa final'!#REF!="Baja",'Mapa final'!#REF!="Catastrófico"),CONCATENATE("R9C",'Mapa final'!#REF!),"")</f>
        <v>#REF!</v>
      </c>
      <c r="AK44" s="40" t="e">
        <f>IF(AND('Mapa final'!#REF!="Baja",'Mapa final'!#REF!="Catastrófico"),CONCATENATE("R9C",'Mapa final'!#REF!),"")</f>
        <v>#REF!</v>
      </c>
      <c r="AL44" s="40" t="e">
        <f>IF(AND('Mapa final'!#REF!="Baja",'Mapa final'!#REF!="Catastrófico"),CONCATENATE("R9C",'Mapa final'!#REF!),"")</f>
        <v>#REF!</v>
      </c>
      <c r="AM44" s="41" t="e">
        <f>IF(AND('Mapa final'!#REF!="Baja",'Mapa final'!#REF!="Catastrófico"),CONCATENATE("R9C",'Mapa final'!#REF!),"")</f>
        <v>#REF!</v>
      </c>
      <c r="AN44" s="1"/>
      <c r="AO44" s="267"/>
      <c r="AP44" s="170"/>
      <c r="AQ44" s="170"/>
      <c r="AR44" s="170"/>
      <c r="AS44" s="170"/>
      <c r="AT44" s="268"/>
      <c r="AU44" s="1"/>
      <c r="AV44" s="1"/>
      <c r="AW44" s="1"/>
      <c r="AX44" s="1"/>
      <c r="AY44" s="1"/>
      <c r="AZ44" s="1"/>
      <c r="BA44" s="1"/>
      <c r="BB44" s="1"/>
      <c r="BC44" s="1"/>
      <c r="BD44" s="1"/>
      <c r="BE44" s="1"/>
      <c r="BF44" s="1"/>
      <c r="BG44" s="1"/>
      <c r="BH44" s="1"/>
      <c r="BI44" s="1"/>
    </row>
    <row r="45" spans="1:61" ht="15.75" customHeight="1" x14ac:dyDescent="0.25">
      <c r="A45" s="1"/>
      <c r="B45" s="258"/>
      <c r="C45" s="170"/>
      <c r="D45" s="171"/>
      <c r="E45" s="248"/>
      <c r="F45" s="249"/>
      <c r="G45" s="249"/>
      <c r="H45" s="249"/>
      <c r="I45" s="249"/>
      <c r="J45" s="63" t="str">
        <f ca="1">IF(AND('Mapa final'!$AY$25="Baja",'Mapa final'!$BA$25="Leve"),CONCATENATE("R10C",'Mapa final'!$AL$25),"")</f>
        <v/>
      </c>
      <c r="K45" s="64" t="str">
        <f ca="1">IF(AND('Mapa final'!$AY$26="Baja",'Mapa final'!$BA$26="Leve"),CONCATENATE("R10C",'Mapa final'!$AL$26),"")</f>
        <v/>
      </c>
      <c r="L45" s="64" t="e">
        <f>IF(AND('Mapa final'!#REF!="Baja",'Mapa final'!#REF!="Leve"),CONCATENATE("R10C",'Mapa final'!#REF!),"")</f>
        <v>#REF!</v>
      </c>
      <c r="M45" s="64" t="e">
        <f>IF(AND('Mapa final'!#REF!="Baja",'Mapa final'!#REF!="Leve"),CONCATENATE("R10C",'Mapa final'!#REF!),"")</f>
        <v>#REF!</v>
      </c>
      <c r="N45" s="64" t="e">
        <f>IF(AND('Mapa final'!#REF!="Baja",'Mapa final'!#REF!="Leve"),CONCATENATE("R10C",'Mapa final'!#REF!),"")</f>
        <v>#REF!</v>
      </c>
      <c r="O45" s="65" t="e">
        <f>IF(AND('Mapa final'!#REF!="Baja",'Mapa final'!#REF!="Leve"),CONCATENATE("R10C",'Mapa final'!#REF!),"")</f>
        <v>#REF!</v>
      </c>
      <c r="P45" s="51" t="str">
        <f ca="1">IF(AND('Mapa final'!$AY$25="Baja",'Mapa final'!$BA$25="Menor"),CONCATENATE("R10C",'Mapa final'!$AL$25),"")</f>
        <v/>
      </c>
      <c r="Q45" s="52" t="str">
        <f ca="1">IF(AND('Mapa final'!$AY$26="Baja",'Mapa final'!$BA$26="Menor"),CONCATENATE("R10C",'Mapa final'!$AL$26),"")</f>
        <v/>
      </c>
      <c r="R45" s="52" t="e">
        <f>IF(AND('Mapa final'!#REF!="Baja",'Mapa final'!#REF!="Menor"),CONCATENATE("R10C",'Mapa final'!#REF!),"")</f>
        <v>#REF!</v>
      </c>
      <c r="S45" s="52" t="e">
        <f>IF(AND('Mapa final'!#REF!="Baja",'Mapa final'!#REF!="Menor"),CONCATENATE("R10C",'Mapa final'!#REF!),"")</f>
        <v>#REF!</v>
      </c>
      <c r="T45" s="52" t="e">
        <f>IF(AND('Mapa final'!#REF!="Baja",'Mapa final'!#REF!="Menor"),CONCATENATE("R10C",'Mapa final'!#REF!),"")</f>
        <v>#REF!</v>
      </c>
      <c r="U45" s="53" t="e">
        <f>IF(AND('Mapa final'!#REF!="Baja",'Mapa final'!#REF!="Menor"),CONCATENATE("R10C",'Mapa final'!#REF!),"")</f>
        <v>#REF!</v>
      </c>
      <c r="V45" s="54" t="str">
        <f ca="1">IF(AND('Mapa final'!$AY$25="Baja",'Mapa final'!$BA$25="Moderado"),CONCATENATE("R10C",'Mapa final'!$AL$25),"")</f>
        <v>R10C1</v>
      </c>
      <c r="W45" s="55" t="str">
        <f ca="1">IF(AND('Mapa final'!$AY$26="Baja",'Mapa final'!$BA$26="Moderado"),CONCATENATE("R10C",'Mapa final'!$AL$26),"")</f>
        <v>R10C2</v>
      </c>
      <c r="X45" s="55" t="e">
        <f>IF(AND('Mapa final'!#REF!="Baja",'Mapa final'!#REF!="Moderado"),CONCATENATE("R10C",'Mapa final'!#REF!),"")</f>
        <v>#REF!</v>
      </c>
      <c r="Y45" s="55" t="e">
        <f>IF(AND('Mapa final'!#REF!="Baja",'Mapa final'!#REF!="Moderado"),CONCATENATE("R10C",'Mapa final'!#REF!),"")</f>
        <v>#REF!</v>
      </c>
      <c r="Z45" s="55" t="e">
        <f>IF(AND('Mapa final'!#REF!="Baja",'Mapa final'!#REF!="Moderado"),CONCATENATE("R10C",'Mapa final'!#REF!),"")</f>
        <v>#REF!</v>
      </c>
      <c r="AA45" s="56" t="e">
        <f>IF(AND('Mapa final'!#REF!="Baja",'Mapa final'!#REF!="Moderado"),CONCATENATE("R10C",'Mapa final'!#REF!),"")</f>
        <v>#REF!</v>
      </c>
      <c r="AB45" s="42" t="str">
        <f ca="1">IF(AND('Mapa final'!$AY$25="Baja",'Mapa final'!$BA$25="Mayor"),CONCATENATE("R10C",'Mapa final'!$AL$25),"")</f>
        <v/>
      </c>
      <c r="AC45" s="43" t="str">
        <f ca="1">IF(AND('Mapa final'!$AY$26="Baja",'Mapa final'!$BA$26="Mayor"),CONCATENATE("R10C",'Mapa final'!$AL$26),"")</f>
        <v/>
      </c>
      <c r="AD45" s="43" t="e">
        <f>IF(AND('Mapa final'!#REF!="Baja",'Mapa final'!#REF!="Mayor"),CONCATENATE("R10C",'Mapa final'!#REF!),"")</f>
        <v>#REF!</v>
      </c>
      <c r="AE45" s="43" t="e">
        <f>IF(AND('Mapa final'!#REF!="Baja",'Mapa final'!#REF!="Mayor"),CONCATENATE("R10C",'Mapa final'!#REF!),"")</f>
        <v>#REF!</v>
      </c>
      <c r="AF45" s="43" t="e">
        <f>IF(AND('Mapa final'!#REF!="Baja",'Mapa final'!#REF!="Mayor"),CONCATENATE("R10C",'Mapa final'!#REF!),"")</f>
        <v>#REF!</v>
      </c>
      <c r="AG45" s="44" t="e">
        <f>IF(AND('Mapa final'!#REF!="Baja",'Mapa final'!#REF!="Mayor"),CONCATENATE("R10C",'Mapa final'!#REF!),"")</f>
        <v>#REF!</v>
      </c>
      <c r="AH45" s="45" t="str">
        <f ca="1">IF(AND('Mapa final'!$AY$25="Baja",'Mapa final'!$BA$25="Catastrófico"),CONCATENATE("R10C",'Mapa final'!$AL$25),"")</f>
        <v/>
      </c>
      <c r="AI45" s="46" t="str">
        <f ca="1">IF(AND('Mapa final'!$AY$26="Baja",'Mapa final'!$BA$26="Catastrófico"),CONCATENATE("R10C",'Mapa final'!$AL$26),"")</f>
        <v/>
      </c>
      <c r="AJ45" s="46" t="e">
        <f>IF(AND('Mapa final'!#REF!="Baja",'Mapa final'!#REF!="Catastrófico"),CONCATENATE("R10C",'Mapa final'!#REF!),"")</f>
        <v>#REF!</v>
      </c>
      <c r="AK45" s="46" t="e">
        <f>IF(AND('Mapa final'!#REF!="Baja",'Mapa final'!#REF!="Catastrófico"),CONCATENATE("R10C",'Mapa final'!#REF!),"")</f>
        <v>#REF!</v>
      </c>
      <c r="AL45" s="46" t="e">
        <f>IF(AND('Mapa final'!#REF!="Baja",'Mapa final'!#REF!="Catastrófico"),CONCATENATE("R10C",'Mapa final'!#REF!),"")</f>
        <v>#REF!</v>
      </c>
      <c r="AM45" s="47" t="e">
        <f>IF(AND('Mapa final'!#REF!="Baja",'Mapa final'!#REF!="Catastrófico"),CONCATENATE("R10C",'Mapa final'!#REF!),"")</f>
        <v>#REF!</v>
      </c>
      <c r="AN45" s="1"/>
      <c r="AO45" s="269"/>
      <c r="AP45" s="270"/>
      <c r="AQ45" s="270"/>
      <c r="AR45" s="270"/>
      <c r="AS45" s="270"/>
      <c r="AT45" s="271"/>
    </row>
    <row r="46" spans="1:61" ht="46.5" customHeight="1" x14ac:dyDescent="0.35">
      <c r="A46" s="1"/>
      <c r="B46" s="258"/>
      <c r="C46" s="170"/>
      <c r="D46" s="171"/>
      <c r="E46" s="276" t="s">
        <v>101</v>
      </c>
      <c r="F46" s="247"/>
      <c r="G46" s="247"/>
      <c r="H46" s="247"/>
      <c r="I46" s="233"/>
      <c r="J46" s="57" t="str">
        <f ca="1">IF(AND('Mapa final'!$AY$10="Muy Baja",'Mapa final'!$BA$10="Leve"),CONCATENATE("R1C",'Mapa final'!$AL$10),"")</f>
        <v/>
      </c>
      <c r="K46" s="58" t="str">
        <f ca="1">IF(AND('Mapa final'!$AY$11="Muy Baja",'Mapa final'!$BA$11="Leve"),CONCATENATE("R1C",'Mapa final'!$AL$11),"")</f>
        <v/>
      </c>
      <c r="L46" s="58" t="e">
        <f>IF(AND('Mapa final'!#REF!="Muy Baja",'Mapa final'!#REF!="Leve"),CONCATENATE("R1C",'Mapa final'!#REF!),"")</f>
        <v>#REF!</v>
      </c>
      <c r="M46" s="58" t="e">
        <f>IF(AND('Mapa final'!#REF!="Muy Baja",'Mapa final'!#REF!="Leve"),CONCATENATE("R1C",'Mapa final'!#REF!),"")</f>
        <v>#REF!</v>
      </c>
      <c r="N46" s="58" t="e">
        <f>IF(AND('Mapa final'!#REF!="Muy Baja",'Mapa final'!#REF!="Leve"),CONCATENATE("R1C",'Mapa final'!#REF!),"")</f>
        <v>#REF!</v>
      </c>
      <c r="O46" s="59" t="e">
        <f>IF(AND('Mapa final'!#REF!="Muy Baja",'Mapa final'!#REF!="Leve"),CONCATENATE("R1C",'Mapa final'!#REF!),"")</f>
        <v>#REF!</v>
      </c>
      <c r="P46" s="57" t="str">
        <f ca="1">IF(AND('Mapa final'!$AY$10="Muy Baja",'Mapa final'!$BA$10="Menor"),CONCATENATE("R1C",'Mapa final'!$AL$10),"")</f>
        <v/>
      </c>
      <c r="Q46" s="58" t="str">
        <f ca="1">IF(AND('Mapa final'!$AY$11="Muy Baja",'Mapa final'!$BA$11="Menor"),CONCATENATE("R1C",'Mapa final'!$AL$11),"")</f>
        <v/>
      </c>
      <c r="R46" s="58" t="e">
        <f>IF(AND('Mapa final'!#REF!="Muy Baja",'Mapa final'!#REF!="Menor"),CONCATENATE("R1C",'Mapa final'!#REF!),"")</f>
        <v>#REF!</v>
      </c>
      <c r="S46" s="58" t="e">
        <f>IF(AND('Mapa final'!#REF!="Muy Baja",'Mapa final'!#REF!="Menor"),CONCATENATE("R1C",'Mapa final'!#REF!),"")</f>
        <v>#REF!</v>
      </c>
      <c r="T46" s="58" t="e">
        <f>IF(AND('Mapa final'!#REF!="Muy Baja",'Mapa final'!#REF!="Menor"),CONCATENATE("R1C",'Mapa final'!#REF!),"")</f>
        <v>#REF!</v>
      </c>
      <c r="U46" s="59" t="e">
        <f>IF(AND('Mapa final'!#REF!="Muy Baja",'Mapa final'!#REF!="Menor"),CONCATENATE("R1C",'Mapa final'!#REF!),"")</f>
        <v>#REF!</v>
      </c>
      <c r="V46" s="48" t="str">
        <f ca="1">IF(AND('Mapa final'!$AY$10="Muy Baja",'Mapa final'!$BA$10="Moderado"),CONCATENATE("R1C",'Mapa final'!$AL$10),"")</f>
        <v/>
      </c>
      <c r="W46" s="66" t="str">
        <f ca="1">IF(AND('Mapa final'!$AY$11="Muy Baja",'Mapa final'!$BA$11="Moderado"),CONCATENATE("R1C",'Mapa final'!$AL$11),"")</f>
        <v/>
      </c>
      <c r="X46" s="49" t="e">
        <f>IF(AND('Mapa final'!#REF!="Muy Baja",'Mapa final'!#REF!="Moderado"),CONCATENATE("R1C",'Mapa final'!#REF!),"")</f>
        <v>#REF!</v>
      </c>
      <c r="Y46" s="49" t="e">
        <f>IF(AND('Mapa final'!#REF!="Muy Baja",'Mapa final'!#REF!="Moderado"),CONCATENATE("R1C",'Mapa final'!#REF!),"")</f>
        <v>#REF!</v>
      </c>
      <c r="Z46" s="49" t="e">
        <f>IF(AND('Mapa final'!#REF!="Muy Baja",'Mapa final'!#REF!="Moderado"),CONCATENATE("R1C",'Mapa final'!#REF!),"")</f>
        <v>#REF!</v>
      </c>
      <c r="AA46" s="50" t="e">
        <f>IF(AND('Mapa final'!#REF!="Muy Baja",'Mapa final'!#REF!="Moderado"),CONCATENATE("R1C",'Mapa final'!#REF!),"")</f>
        <v>#REF!</v>
      </c>
      <c r="AB46" s="30" t="str">
        <f ca="1">IF(AND('Mapa final'!$AY$10="Muy Baja",'Mapa final'!$BA$10="Mayor"),CONCATENATE("R1C",'Mapa final'!$AL$10),"")</f>
        <v/>
      </c>
      <c r="AC46" s="31" t="str">
        <f ca="1">IF(AND('Mapa final'!$AY$11="Muy Baja",'Mapa final'!$BA$11="Mayor"),CONCATENATE("R1C",'Mapa final'!$AL$11),"")</f>
        <v/>
      </c>
      <c r="AD46" s="31" t="e">
        <f>IF(AND('Mapa final'!#REF!="Muy Baja",'Mapa final'!#REF!="Mayor"),CONCATENATE("R1C",'Mapa final'!#REF!),"")</f>
        <v>#REF!</v>
      </c>
      <c r="AE46" s="31" t="e">
        <f>IF(AND('Mapa final'!#REF!="Muy Baja",'Mapa final'!#REF!="Mayor"),CONCATENATE("R1C",'Mapa final'!#REF!),"")</f>
        <v>#REF!</v>
      </c>
      <c r="AF46" s="31" t="e">
        <f>IF(AND('Mapa final'!#REF!="Muy Baja",'Mapa final'!#REF!="Mayor"),CONCATENATE("R1C",'Mapa final'!#REF!),"")</f>
        <v>#REF!</v>
      </c>
      <c r="AG46" s="32" t="e">
        <f>IF(AND('Mapa final'!#REF!="Muy Baja",'Mapa final'!#REF!="Mayor"),CONCATENATE("R1C",'Mapa final'!#REF!),"")</f>
        <v>#REF!</v>
      </c>
      <c r="AH46" s="33" t="str">
        <f ca="1">IF(AND('Mapa final'!$AY$10="Muy Baja",'Mapa final'!$BA$10="Catastrófico"),CONCATENATE("R1C",'Mapa final'!$AL$10),"")</f>
        <v/>
      </c>
      <c r="AI46" s="34" t="str">
        <f ca="1">IF(AND('Mapa final'!$AY$11="Muy Baja",'Mapa final'!$BA$11="Catastrófico"),CONCATENATE("R1C",'Mapa final'!$AL$11),"")</f>
        <v/>
      </c>
      <c r="AJ46" s="34" t="e">
        <f>IF(AND('Mapa final'!#REF!="Muy Baja",'Mapa final'!#REF!="Catastrófico"),CONCATENATE("R1C",'Mapa final'!#REF!),"")</f>
        <v>#REF!</v>
      </c>
      <c r="AK46" s="34" t="e">
        <f>IF(AND('Mapa final'!#REF!="Muy Baja",'Mapa final'!#REF!="Catastrófico"),CONCATENATE("R1C",'Mapa final'!#REF!),"")</f>
        <v>#REF!</v>
      </c>
      <c r="AL46" s="34" t="e">
        <f>IF(AND('Mapa final'!#REF!="Muy Baja",'Mapa final'!#REF!="Catastrófico"),CONCATENATE("R1C",'Mapa final'!#REF!),"")</f>
        <v>#REF!</v>
      </c>
      <c r="AM46" s="35"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258"/>
      <c r="C47" s="170"/>
      <c r="D47" s="171"/>
      <c r="E47" s="182"/>
      <c r="F47" s="170"/>
      <c r="G47" s="170"/>
      <c r="H47" s="170"/>
      <c r="I47" s="171"/>
      <c r="J47" s="60" t="str">
        <f ca="1">IF(AND('Mapa final'!$AY$12="Muy Baja",'Mapa final'!$BA$12="Leve"),CONCATENATE("R2C",'Mapa final'!$AL$12),"")</f>
        <v/>
      </c>
      <c r="K47" s="61" t="str">
        <f ca="1">IF(AND('Mapa final'!$AY$13="Muy Baja",'Mapa final'!$BA$13="Leve"),CONCATENATE("R2C",'Mapa final'!$AL$13),"")</f>
        <v/>
      </c>
      <c r="L47" s="61" t="e">
        <f>IF(AND('Mapa final'!#REF!="Muy Baja",'Mapa final'!#REF!="Leve"),CONCATENATE("R2C",'Mapa final'!#REF!),"")</f>
        <v>#REF!</v>
      </c>
      <c r="M47" s="61" t="e">
        <f>IF(AND('Mapa final'!#REF!="Muy Baja",'Mapa final'!#REF!="Leve"),CONCATENATE("R2C",'Mapa final'!#REF!),"")</f>
        <v>#REF!</v>
      </c>
      <c r="N47" s="61" t="e">
        <f>IF(AND('Mapa final'!#REF!="Muy Baja",'Mapa final'!#REF!="Leve"),CONCATENATE("R2C",'Mapa final'!#REF!),"")</f>
        <v>#REF!</v>
      </c>
      <c r="O47" s="62" t="e">
        <f>IF(AND('Mapa final'!#REF!="Muy Baja",'Mapa final'!#REF!="Leve"),CONCATENATE("R2C",'Mapa final'!#REF!),"")</f>
        <v>#REF!</v>
      </c>
      <c r="P47" s="60" t="str">
        <f ca="1">IF(AND('Mapa final'!$AY$12="Muy Baja",'Mapa final'!$BA$12="Menor"),CONCATENATE("R2C",'Mapa final'!$AL$12),"")</f>
        <v/>
      </c>
      <c r="Q47" s="61" t="str">
        <f ca="1">IF(AND('Mapa final'!$AY$13="Muy Baja",'Mapa final'!$BA$13="Menor"),CONCATENATE("R2C",'Mapa final'!$AL$13),"")</f>
        <v/>
      </c>
      <c r="R47" s="61" t="e">
        <f>IF(AND('Mapa final'!#REF!="Muy Baja",'Mapa final'!#REF!="Menor"),CONCATENATE("R2C",'Mapa final'!#REF!),"")</f>
        <v>#REF!</v>
      </c>
      <c r="S47" s="61" t="e">
        <f>IF(AND('Mapa final'!#REF!="Muy Baja",'Mapa final'!#REF!="Menor"),CONCATENATE("R2C",'Mapa final'!#REF!),"")</f>
        <v>#REF!</v>
      </c>
      <c r="T47" s="61" t="e">
        <f>IF(AND('Mapa final'!#REF!="Muy Baja",'Mapa final'!#REF!="Menor"),CONCATENATE("R2C",'Mapa final'!#REF!),"")</f>
        <v>#REF!</v>
      </c>
      <c r="U47" s="62" t="e">
        <f>IF(AND('Mapa final'!#REF!="Muy Baja",'Mapa final'!#REF!="Menor"),CONCATENATE("R2C",'Mapa final'!#REF!),"")</f>
        <v>#REF!</v>
      </c>
      <c r="V47" s="51" t="str">
        <f ca="1">IF(AND('Mapa final'!$AY$12="Muy Baja",'Mapa final'!$BA$12="Moderado"),CONCATENATE("R2C",'Mapa final'!$AL$12),"")</f>
        <v/>
      </c>
      <c r="W47" s="52" t="str">
        <f ca="1">IF(AND('Mapa final'!$AY$13="Muy Baja",'Mapa final'!$BA$13="Moderado"),CONCATENATE("R2C",'Mapa final'!$AL$13),"")</f>
        <v/>
      </c>
      <c r="X47" s="52" t="e">
        <f>IF(AND('Mapa final'!#REF!="Muy Baja",'Mapa final'!#REF!="Moderado"),CONCATENATE("R2C",'Mapa final'!#REF!),"")</f>
        <v>#REF!</v>
      </c>
      <c r="Y47" s="52" t="e">
        <f>IF(AND('Mapa final'!#REF!="Muy Baja",'Mapa final'!#REF!="Moderado"),CONCATENATE("R2C",'Mapa final'!#REF!),"")</f>
        <v>#REF!</v>
      </c>
      <c r="Z47" s="52" t="e">
        <f>IF(AND('Mapa final'!#REF!="Muy Baja",'Mapa final'!#REF!="Moderado"),CONCATENATE("R2C",'Mapa final'!#REF!),"")</f>
        <v>#REF!</v>
      </c>
      <c r="AA47" s="53" t="e">
        <f>IF(AND('Mapa final'!#REF!="Muy Baja",'Mapa final'!#REF!="Moderado"),CONCATENATE("R2C",'Mapa final'!#REF!),"")</f>
        <v>#REF!</v>
      </c>
      <c r="AB47" s="36" t="str">
        <f ca="1">IF(AND('Mapa final'!$AY$12="Muy Baja",'Mapa final'!$BA$12="Mayor"),CONCATENATE("R2C",'Mapa final'!$AL$12),"")</f>
        <v/>
      </c>
      <c r="AC47" s="37" t="str">
        <f ca="1">IF(AND('Mapa final'!$AY$13="Muy Baja",'Mapa final'!$BA$13="Mayor"),CONCATENATE("R2C",'Mapa final'!$AL$13),"")</f>
        <v/>
      </c>
      <c r="AD47" s="37" t="e">
        <f>IF(AND('Mapa final'!#REF!="Muy Baja",'Mapa final'!#REF!="Mayor"),CONCATENATE("R2C",'Mapa final'!#REF!),"")</f>
        <v>#REF!</v>
      </c>
      <c r="AE47" s="37" t="e">
        <f>IF(AND('Mapa final'!#REF!="Muy Baja",'Mapa final'!#REF!="Mayor"),CONCATENATE("R2C",'Mapa final'!#REF!),"")</f>
        <v>#REF!</v>
      </c>
      <c r="AF47" s="37" t="e">
        <f>IF(AND('Mapa final'!#REF!="Muy Baja",'Mapa final'!#REF!="Mayor"),CONCATENATE("R2C",'Mapa final'!#REF!),"")</f>
        <v>#REF!</v>
      </c>
      <c r="AG47" s="38" t="e">
        <f>IF(AND('Mapa final'!#REF!="Muy Baja",'Mapa final'!#REF!="Mayor"),CONCATENATE("R2C",'Mapa final'!#REF!),"")</f>
        <v>#REF!</v>
      </c>
      <c r="AH47" s="39" t="str">
        <f ca="1">IF(AND('Mapa final'!$AY$12="Muy Baja",'Mapa final'!$BA$12="Catastrófico"),CONCATENATE("R2C",'Mapa final'!$AL$12),"")</f>
        <v/>
      </c>
      <c r="AI47" s="40" t="str">
        <f ca="1">IF(AND('Mapa final'!$AY$13="Muy Baja",'Mapa final'!$BA$13="Catastrófico"),CONCATENATE("R2C",'Mapa final'!$AL$13),"")</f>
        <v/>
      </c>
      <c r="AJ47" s="40" t="e">
        <f>IF(AND('Mapa final'!#REF!="Muy Baja",'Mapa final'!#REF!="Catastrófico"),CONCATENATE("R2C",'Mapa final'!#REF!),"")</f>
        <v>#REF!</v>
      </c>
      <c r="AK47" s="40" t="e">
        <f>IF(AND('Mapa final'!#REF!="Muy Baja",'Mapa final'!#REF!="Catastrófico"),CONCATENATE("R2C",'Mapa final'!#REF!),"")</f>
        <v>#REF!</v>
      </c>
      <c r="AL47" s="40" t="e">
        <f>IF(AND('Mapa final'!#REF!="Muy Baja",'Mapa final'!#REF!="Catastrófico"),CONCATENATE("R2C",'Mapa final'!#REF!),"")</f>
        <v>#REF!</v>
      </c>
      <c r="AM47" s="41"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258"/>
      <c r="C48" s="170"/>
      <c r="D48" s="171"/>
      <c r="E48" s="182"/>
      <c r="F48" s="170"/>
      <c r="G48" s="170"/>
      <c r="H48" s="170"/>
      <c r="I48" s="171"/>
      <c r="J48" s="60" t="str">
        <f ca="1">IF(AND('Mapa final'!$AY$14="Muy Baja",'Mapa final'!$BA$14="Leve"),CONCATENATE("R3C",'Mapa final'!$AL$14),"")</f>
        <v/>
      </c>
      <c r="K48" s="61" t="e">
        <f>IF(AND('Mapa final'!#REF!="Muy Baja",'Mapa final'!#REF!="Leve"),CONCATENATE("R3C",'Mapa final'!#REF!),"")</f>
        <v>#REF!</v>
      </c>
      <c r="L48" s="61" t="e">
        <f>IF(AND('Mapa final'!#REF!="Muy Baja",'Mapa final'!#REF!="Leve"),CONCATENATE("R3C",'Mapa final'!#REF!),"")</f>
        <v>#REF!</v>
      </c>
      <c r="M48" s="61" t="e">
        <f>IF(AND('Mapa final'!#REF!="Muy Baja",'Mapa final'!#REF!="Leve"),CONCATENATE("R3C",'Mapa final'!#REF!),"")</f>
        <v>#REF!</v>
      </c>
      <c r="N48" s="61" t="e">
        <f>IF(AND('Mapa final'!#REF!="Muy Baja",'Mapa final'!#REF!="Leve"),CONCATENATE("R3C",'Mapa final'!#REF!),"")</f>
        <v>#REF!</v>
      </c>
      <c r="O48" s="62" t="e">
        <f>IF(AND('Mapa final'!#REF!="Muy Baja",'Mapa final'!#REF!="Leve"),CONCATENATE("R3C",'Mapa final'!#REF!),"")</f>
        <v>#REF!</v>
      </c>
      <c r="P48" s="60" t="str">
        <f ca="1">IF(AND('Mapa final'!$AY$14="Muy Baja",'Mapa final'!$BA$14="Menor"),CONCATENATE("R3C",'Mapa final'!$AL$14),"")</f>
        <v/>
      </c>
      <c r="Q48" s="61" t="e">
        <f>IF(AND('Mapa final'!#REF!="Muy Baja",'Mapa final'!#REF!="Menor"),CONCATENATE("R3C",'Mapa final'!#REF!),"")</f>
        <v>#REF!</v>
      </c>
      <c r="R48" s="61" t="e">
        <f>IF(AND('Mapa final'!#REF!="Muy Baja",'Mapa final'!#REF!="Menor"),CONCATENATE("R3C",'Mapa final'!#REF!),"")</f>
        <v>#REF!</v>
      </c>
      <c r="S48" s="61" t="e">
        <f>IF(AND('Mapa final'!#REF!="Muy Baja",'Mapa final'!#REF!="Menor"),CONCATENATE("R3C",'Mapa final'!#REF!),"")</f>
        <v>#REF!</v>
      </c>
      <c r="T48" s="61" t="e">
        <f>IF(AND('Mapa final'!#REF!="Muy Baja",'Mapa final'!#REF!="Menor"),CONCATENATE("R3C",'Mapa final'!#REF!),"")</f>
        <v>#REF!</v>
      </c>
      <c r="U48" s="62" t="e">
        <f>IF(AND('Mapa final'!#REF!="Muy Baja",'Mapa final'!#REF!="Menor"),CONCATENATE("R3C",'Mapa final'!#REF!),"")</f>
        <v>#REF!</v>
      </c>
      <c r="V48" s="51" t="str">
        <f ca="1">IF(AND('Mapa final'!$AY$14="Muy Baja",'Mapa final'!$BA$14="Moderado"),CONCATENATE("R3C",'Mapa final'!$AL$14),"")</f>
        <v/>
      </c>
      <c r="W48" s="52" t="e">
        <f>IF(AND('Mapa final'!#REF!="Muy Baja",'Mapa final'!#REF!="Moderado"),CONCATENATE("R3C",'Mapa final'!#REF!),"")</f>
        <v>#REF!</v>
      </c>
      <c r="X48" s="52" t="e">
        <f>IF(AND('Mapa final'!#REF!="Muy Baja",'Mapa final'!#REF!="Moderado"),CONCATENATE("R3C",'Mapa final'!#REF!),"")</f>
        <v>#REF!</v>
      </c>
      <c r="Y48" s="52" t="e">
        <f>IF(AND('Mapa final'!#REF!="Muy Baja",'Mapa final'!#REF!="Moderado"),CONCATENATE("R3C",'Mapa final'!#REF!),"")</f>
        <v>#REF!</v>
      </c>
      <c r="Z48" s="52" t="e">
        <f>IF(AND('Mapa final'!#REF!="Muy Baja",'Mapa final'!#REF!="Moderado"),CONCATENATE("R3C",'Mapa final'!#REF!),"")</f>
        <v>#REF!</v>
      </c>
      <c r="AA48" s="53" t="e">
        <f>IF(AND('Mapa final'!#REF!="Muy Baja",'Mapa final'!#REF!="Moderado"),CONCATENATE("R3C",'Mapa final'!#REF!),"")</f>
        <v>#REF!</v>
      </c>
      <c r="AB48" s="36" t="str">
        <f ca="1">IF(AND('Mapa final'!$AY$14="Muy Baja",'Mapa final'!$BA$14="Mayor"),CONCATENATE("R3C",'Mapa final'!$AL$14),"")</f>
        <v/>
      </c>
      <c r="AC48" s="37" t="e">
        <f>IF(AND('Mapa final'!#REF!="Muy Baja",'Mapa final'!#REF!="Mayor"),CONCATENATE("R3C",'Mapa final'!#REF!),"")</f>
        <v>#REF!</v>
      </c>
      <c r="AD48" s="37" t="e">
        <f>IF(AND('Mapa final'!#REF!="Muy Baja",'Mapa final'!#REF!="Mayor"),CONCATENATE("R3C",'Mapa final'!#REF!),"")</f>
        <v>#REF!</v>
      </c>
      <c r="AE48" s="37" t="e">
        <f>IF(AND('Mapa final'!#REF!="Muy Baja",'Mapa final'!#REF!="Mayor"),CONCATENATE("R3C",'Mapa final'!#REF!),"")</f>
        <v>#REF!</v>
      </c>
      <c r="AF48" s="37" t="e">
        <f>IF(AND('Mapa final'!#REF!="Muy Baja",'Mapa final'!#REF!="Mayor"),CONCATENATE("R3C",'Mapa final'!#REF!),"")</f>
        <v>#REF!</v>
      </c>
      <c r="AG48" s="38" t="e">
        <f>IF(AND('Mapa final'!#REF!="Muy Baja",'Mapa final'!#REF!="Mayor"),CONCATENATE("R3C",'Mapa final'!#REF!),"")</f>
        <v>#REF!</v>
      </c>
      <c r="AH48" s="39" t="str">
        <f ca="1">IF(AND('Mapa final'!$AY$14="Muy Baja",'Mapa final'!$BA$14="Catastrófico"),CONCATENATE("R3C",'Mapa final'!$AL$14),"")</f>
        <v/>
      </c>
      <c r="AI48" s="40" t="e">
        <f>IF(AND('Mapa final'!#REF!="Muy Baja",'Mapa final'!#REF!="Catastrófico"),CONCATENATE("R3C",'Mapa final'!#REF!),"")</f>
        <v>#REF!</v>
      </c>
      <c r="AJ48" s="40" t="e">
        <f>IF(AND('Mapa final'!#REF!="Muy Baja",'Mapa final'!#REF!="Catastrófico"),CONCATENATE("R3C",'Mapa final'!#REF!),"")</f>
        <v>#REF!</v>
      </c>
      <c r="AK48" s="40" t="e">
        <f>IF(AND('Mapa final'!#REF!="Muy Baja",'Mapa final'!#REF!="Catastrófico"),CONCATENATE("R3C",'Mapa final'!#REF!),"")</f>
        <v>#REF!</v>
      </c>
      <c r="AL48" s="40" t="e">
        <f>IF(AND('Mapa final'!#REF!="Muy Baja",'Mapa final'!#REF!="Catastrófico"),CONCATENATE("R3C",'Mapa final'!#REF!),"")</f>
        <v>#REF!</v>
      </c>
      <c r="AM48" s="41"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258"/>
      <c r="C49" s="170"/>
      <c r="D49" s="171"/>
      <c r="E49" s="182"/>
      <c r="F49" s="170"/>
      <c r="G49" s="170"/>
      <c r="H49" s="170"/>
      <c r="I49" s="171"/>
      <c r="J49" s="60" t="str">
        <f ca="1">IF(AND('Mapa final'!$AY$15="Muy Baja",'Mapa final'!$BA$15="Leve"),CONCATENATE("R4C",'Mapa final'!$AL$15),"")</f>
        <v/>
      </c>
      <c r="K49" s="61" t="str">
        <f>IF(AND('Mapa final'!$AY$16="Muy Baja",'Mapa final'!$BA$16="Leve"),CONCATENATE("R4C",'Mapa final'!$AL$16),"")</f>
        <v/>
      </c>
      <c r="L49" s="61" t="str">
        <f>IF(AND('Mapa final'!$AY$17="Muy Baja",'Mapa final'!$BA$17="Leve"),CONCATENATE("R4C",'Mapa final'!$AL$17),"")</f>
        <v/>
      </c>
      <c r="M49" s="61" t="e">
        <f>IF(AND('Mapa final'!#REF!="Muy Baja",'Mapa final'!#REF!="Leve"),CONCATENATE("R4C",'Mapa final'!#REF!),"")</f>
        <v>#REF!</v>
      </c>
      <c r="N49" s="61" t="e">
        <f>IF(AND('Mapa final'!#REF!="Muy Baja",'Mapa final'!#REF!="Leve"),CONCATENATE("R4C",'Mapa final'!#REF!),"")</f>
        <v>#REF!</v>
      </c>
      <c r="O49" s="62" t="e">
        <f>IF(AND('Mapa final'!#REF!="Muy Baja",'Mapa final'!#REF!="Leve"),CONCATENATE("R4C",'Mapa final'!#REF!),"")</f>
        <v>#REF!</v>
      </c>
      <c r="P49" s="60" t="str">
        <f ca="1">IF(AND('Mapa final'!$AY$15="Muy Baja",'Mapa final'!$BA$15="Menor"),CONCATENATE("R4C",'Mapa final'!$AL$15),"")</f>
        <v/>
      </c>
      <c r="Q49" s="61" t="str">
        <f>IF(AND('Mapa final'!$AY$16="Muy Baja",'Mapa final'!$BA$16="Menor"),CONCATENATE("R4C",'Mapa final'!$AL$16),"")</f>
        <v/>
      </c>
      <c r="R49" s="61" t="str">
        <f>IF(AND('Mapa final'!$AY$17="Muy Baja",'Mapa final'!$BA$17="Menor"),CONCATENATE("R4C",'Mapa final'!$AL$17),"")</f>
        <v>R4C3</v>
      </c>
      <c r="S49" s="61" t="e">
        <f>IF(AND('Mapa final'!#REF!="Muy Baja",'Mapa final'!#REF!="Menor"),CONCATENATE("R4C",'Mapa final'!#REF!),"")</f>
        <v>#REF!</v>
      </c>
      <c r="T49" s="61" t="e">
        <f>IF(AND('Mapa final'!#REF!="Muy Baja",'Mapa final'!#REF!="Menor"),CONCATENATE("R4C",'Mapa final'!#REF!),"")</f>
        <v>#REF!</v>
      </c>
      <c r="U49" s="62" t="e">
        <f>IF(AND('Mapa final'!#REF!="Muy Baja",'Mapa final'!#REF!="Menor"),CONCATENATE("R4C",'Mapa final'!#REF!),"")</f>
        <v>#REF!</v>
      </c>
      <c r="V49" s="51" t="str">
        <f ca="1">IF(AND('Mapa final'!$AY$15="Muy Baja",'Mapa final'!$BA$15="Moderado"),CONCATENATE("R4C",'Mapa final'!$AL$15),"")</f>
        <v/>
      </c>
      <c r="W49" s="52" t="str">
        <f>IF(AND('Mapa final'!$AY$16="Muy Baja",'Mapa final'!$BA$16="Moderado"),CONCATENATE("R4C",'Mapa final'!$AL$16),"")</f>
        <v/>
      </c>
      <c r="X49" s="52" t="str">
        <f>IF(AND('Mapa final'!$AY$17="Muy Baja",'Mapa final'!$BA$17="Moderado"),CONCATENATE("R4C",'Mapa final'!$AL$17),"")</f>
        <v/>
      </c>
      <c r="Y49" s="52" t="e">
        <f>IF(AND('Mapa final'!#REF!="Muy Baja",'Mapa final'!#REF!="Moderado"),CONCATENATE("R4C",'Mapa final'!#REF!),"")</f>
        <v>#REF!</v>
      </c>
      <c r="Z49" s="52" t="e">
        <f>IF(AND('Mapa final'!#REF!="Muy Baja",'Mapa final'!#REF!="Moderado"),CONCATENATE("R4C",'Mapa final'!#REF!),"")</f>
        <v>#REF!</v>
      </c>
      <c r="AA49" s="53" t="e">
        <f>IF(AND('Mapa final'!#REF!="Muy Baja",'Mapa final'!#REF!="Moderado"),CONCATENATE("R4C",'Mapa final'!#REF!),"")</f>
        <v>#REF!</v>
      </c>
      <c r="AB49" s="36" t="str">
        <f ca="1">IF(AND('Mapa final'!$AY$15="Muy Baja",'Mapa final'!$BA$15="Mayor"),CONCATENATE("R4C",'Mapa final'!$AL$15),"")</f>
        <v/>
      </c>
      <c r="AC49" s="37" t="str">
        <f>IF(AND('Mapa final'!$AY$16="Muy Baja",'Mapa final'!$BA$16="Mayor"),CONCATENATE("R4C",'Mapa final'!$AL$16),"")</f>
        <v/>
      </c>
      <c r="AD49" s="37" t="str">
        <f>IF(AND('Mapa final'!$AY$17="Muy Baja",'Mapa final'!$BA$17="Mayor"),CONCATENATE("R4C",'Mapa final'!$AL$17),"")</f>
        <v/>
      </c>
      <c r="AE49" s="37" t="e">
        <f>IF(AND('Mapa final'!#REF!="Muy Baja",'Mapa final'!#REF!="Mayor"),CONCATENATE("R4C",'Mapa final'!#REF!),"")</f>
        <v>#REF!</v>
      </c>
      <c r="AF49" s="37" t="e">
        <f>IF(AND('Mapa final'!#REF!="Muy Baja",'Mapa final'!#REF!="Mayor"),CONCATENATE("R4C",'Mapa final'!#REF!),"")</f>
        <v>#REF!</v>
      </c>
      <c r="AG49" s="38" t="e">
        <f>IF(AND('Mapa final'!#REF!="Muy Baja",'Mapa final'!#REF!="Mayor"),CONCATENATE("R4C",'Mapa final'!#REF!),"")</f>
        <v>#REF!</v>
      </c>
      <c r="AH49" s="39" t="str">
        <f ca="1">IF(AND('Mapa final'!$AY$15="Muy Baja",'Mapa final'!$BA$15="Catastrófico"),CONCATENATE("R4C",'Mapa final'!$AL$15),"")</f>
        <v/>
      </c>
      <c r="AI49" s="40" t="str">
        <f>IF(AND('Mapa final'!$AY$16="Muy Baja",'Mapa final'!$BA$16="Catastrófico"),CONCATENATE("R4C",'Mapa final'!$AL$16),"")</f>
        <v/>
      </c>
      <c r="AJ49" s="40" t="str">
        <f>IF(AND('Mapa final'!$AY$17="Muy Baja",'Mapa final'!$BA$17="Catastrófico"),CONCATENATE("R4C",'Mapa final'!$AL$17),"")</f>
        <v/>
      </c>
      <c r="AK49" s="40" t="e">
        <f>IF(AND('Mapa final'!#REF!="Muy Baja",'Mapa final'!#REF!="Catastrófico"),CONCATENATE("R4C",'Mapa final'!#REF!),"")</f>
        <v>#REF!</v>
      </c>
      <c r="AL49" s="40" t="e">
        <f>IF(AND('Mapa final'!#REF!="Muy Baja",'Mapa final'!#REF!="Catastrófico"),CONCATENATE("R4C",'Mapa final'!#REF!),"")</f>
        <v>#REF!</v>
      </c>
      <c r="AM49" s="41"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258"/>
      <c r="C50" s="170"/>
      <c r="D50" s="171"/>
      <c r="E50" s="182"/>
      <c r="F50" s="170"/>
      <c r="G50" s="170"/>
      <c r="H50" s="170"/>
      <c r="I50" s="171"/>
      <c r="J50" s="60" t="str">
        <f ca="1">IF(AND('Mapa final'!$AY$18="Muy Baja",'Mapa final'!$BA$18="Leve"),CONCATENATE("R5C",'Mapa final'!$AL$18),"")</f>
        <v/>
      </c>
      <c r="K50" s="61" t="e">
        <f>IF(AND('Mapa final'!#REF!="Muy Baja",'Mapa final'!#REF!="Leve"),CONCATENATE("R5C",'Mapa final'!#REF!),"")</f>
        <v>#REF!</v>
      </c>
      <c r="L50" s="61" t="e">
        <f>IF(AND('Mapa final'!#REF!="Muy Baja",'Mapa final'!#REF!="Leve"),CONCATENATE("R5C",'Mapa final'!#REF!),"")</f>
        <v>#REF!</v>
      </c>
      <c r="M50" s="61" t="e">
        <f>IF(AND('Mapa final'!#REF!="Muy Baja",'Mapa final'!#REF!="Leve"),CONCATENATE("R5C",'Mapa final'!#REF!),"")</f>
        <v>#REF!</v>
      </c>
      <c r="N50" s="61" t="e">
        <f>IF(AND('Mapa final'!#REF!="Muy Baja",'Mapa final'!#REF!="Leve"),CONCATENATE("R5C",'Mapa final'!#REF!),"")</f>
        <v>#REF!</v>
      </c>
      <c r="O50" s="62" t="e">
        <f>IF(AND('Mapa final'!#REF!="Muy Baja",'Mapa final'!#REF!="Leve"),CONCATENATE("R5C",'Mapa final'!#REF!),"")</f>
        <v>#REF!</v>
      </c>
      <c r="P50" s="60" t="str">
        <f ca="1">IF(AND('Mapa final'!$AY$18="Muy Baja",'Mapa final'!$BA$18="Menor"),CONCATENATE("R5C",'Mapa final'!$AL$18),"")</f>
        <v/>
      </c>
      <c r="Q50" s="61" t="e">
        <f>IF(AND('Mapa final'!#REF!="Muy Baja",'Mapa final'!#REF!="Menor"),CONCATENATE("R5C",'Mapa final'!#REF!),"")</f>
        <v>#REF!</v>
      </c>
      <c r="R50" s="61" t="e">
        <f>IF(AND('Mapa final'!#REF!="Muy Baja",'Mapa final'!#REF!="Menor"),CONCATENATE("R5C",'Mapa final'!#REF!),"")</f>
        <v>#REF!</v>
      </c>
      <c r="S50" s="61" t="e">
        <f>IF(AND('Mapa final'!#REF!="Muy Baja",'Mapa final'!#REF!="Menor"),CONCATENATE("R5C",'Mapa final'!#REF!),"")</f>
        <v>#REF!</v>
      </c>
      <c r="T50" s="61" t="e">
        <f>IF(AND('Mapa final'!#REF!="Muy Baja",'Mapa final'!#REF!="Menor"),CONCATENATE("R5C",'Mapa final'!#REF!),"")</f>
        <v>#REF!</v>
      </c>
      <c r="U50" s="62" t="e">
        <f>IF(AND('Mapa final'!#REF!="Muy Baja",'Mapa final'!#REF!="Menor"),CONCATENATE("R5C",'Mapa final'!#REF!),"")</f>
        <v>#REF!</v>
      </c>
      <c r="V50" s="51" t="str">
        <f ca="1">IF(AND('Mapa final'!$AY$18="Muy Baja",'Mapa final'!$BA$18="Moderado"),CONCATENATE("R5C",'Mapa final'!$AL$18),"")</f>
        <v/>
      </c>
      <c r="W50" s="52" t="e">
        <f>IF(AND('Mapa final'!#REF!="Muy Baja",'Mapa final'!#REF!="Moderado"),CONCATENATE("R5C",'Mapa final'!#REF!),"")</f>
        <v>#REF!</v>
      </c>
      <c r="X50" s="52" t="e">
        <f>IF(AND('Mapa final'!#REF!="Muy Baja",'Mapa final'!#REF!="Moderado"),CONCATENATE("R5C",'Mapa final'!#REF!),"")</f>
        <v>#REF!</v>
      </c>
      <c r="Y50" s="52" t="e">
        <f>IF(AND('Mapa final'!#REF!="Muy Baja",'Mapa final'!#REF!="Moderado"),CONCATENATE("R5C",'Mapa final'!#REF!),"")</f>
        <v>#REF!</v>
      </c>
      <c r="Z50" s="52" t="e">
        <f>IF(AND('Mapa final'!#REF!="Muy Baja",'Mapa final'!#REF!="Moderado"),CONCATENATE("R5C",'Mapa final'!#REF!),"")</f>
        <v>#REF!</v>
      </c>
      <c r="AA50" s="53" t="e">
        <f>IF(AND('Mapa final'!#REF!="Muy Baja",'Mapa final'!#REF!="Moderado"),CONCATENATE("R5C",'Mapa final'!#REF!),"")</f>
        <v>#REF!</v>
      </c>
      <c r="AB50" s="36" t="str">
        <f ca="1">IF(AND('Mapa final'!$AY$18="Muy Baja",'Mapa final'!$BA$18="Mayor"),CONCATENATE("R5C",'Mapa final'!$AL$18),"")</f>
        <v/>
      </c>
      <c r="AC50" s="37" t="e">
        <f>IF(AND('Mapa final'!#REF!="Muy Baja",'Mapa final'!#REF!="Mayor"),CONCATENATE("R5C",'Mapa final'!#REF!),"")</f>
        <v>#REF!</v>
      </c>
      <c r="AD50" s="37" t="e">
        <f>IF(AND('Mapa final'!#REF!="Muy Baja",'Mapa final'!#REF!="Mayor"),CONCATENATE("R5C",'Mapa final'!#REF!),"")</f>
        <v>#REF!</v>
      </c>
      <c r="AE50" s="37" t="e">
        <f>IF(AND('Mapa final'!#REF!="Muy Baja",'Mapa final'!#REF!="Mayor"),CONCATENATE("R5C",'Mapa final'!#REF!),"")</f>
        <v>#REF!</v>
      </c>
      <c r="AF50" s="37" t="e">
        <f>IF(AND('Mapa final'!#REF!="Muy Baja",'Mapa final'!#REF!="Mayor"),CONCATENATE("R5C",'Mapa final'!#REF!),"")</f>
        <v>#REF!</v>
      </c>
      <c r="AG50" s="38" t="e">
        <f>IF(AND('Mapa final'!#REF!="Muy Baja",'Mapa final'!#REF!="Mayor"),CONCATENATE("R5C",'Mapa final'!#REF!),"")</f>
        <v>#REF!</v>
      </c>
      <c r="AH50" s="39" t="str">
        <f ca="1">IF(AND('Mapa final'!$AY$18="Muy Baja",'Mapa final'!$BA$18="Catastrófico"),CONCATENATE("R5C",'Mapa final'!$AL$18),"")</f>
        <v/>
      </c>
      <c r="AI50" s="40" t="e">
        <f>IF(AND('Mapa final'!#REF!="Muy Baja",'Mapa final'!#REF!="Catastrófico"),CONCATENATE("R5C",'Mapa final'!#REF!),"")</f>
        <v>#REF!</v>
      </c>
      <c r="AJ50" s="40" t="e">
        <f>IF(AND('Mapa final'!#REF!="Muy Baja",'Mapa final'!#REF!="Catastrófico"),CONCATENATE("R5C",'Mapa final'!#REF!),"")</f>
        <v>#REF!</v>
      </c>
      <c r="AK50" s="40" t="e">
        <f>IF(AND('Mapa final'!#REF!="Muy Baja",'Mapa final'!#REF!="Catastrófico"),CONCATENATE("R5C",'Mapa final'!#REF!),"")</f>
        <v>#REF!</v>
      </c>
      <c r="AL50" s="40" t="e">
        <f>IF(AND('Mapa final'!#REF!="Muy Baja",'Mapa final'!#REF!="Catastrófico"),CONCATENATE("R5C",'Mapa final'!#REF!),"")</f>
        <v>#REF!</v>
      </c>
      <c r="AM50" s="4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258"/>
      <c r="C51" s="170"/>
      <c r="D51" s="171"/>
      <c r="E51" s="182"/>
      <c r="F51" s="170"/>
      <c r="G51" s="170"/>
      <c r="H51" s="170"/>
      <c r="I51" s="171"/>
      <c r="J51" s="60" t="str">
        <f ca="1">IF(AND('Mapa final'!$AY$19="Muy Baja",'Mapa final'!$BA$19="Leve"),CONCATENATE("R6C",'Mapa final'!$AL$19),"")</f>
        <v/>
      </c>
      <c r="K51" s="61" t="str">
        <f ca="1">IF(AND('Mapa final'!$AY$20="Muy Baja",'Mapa final'!$BA$20="Leve"),CONCATENATE("R6C",'Mapa final'!$AL$20),"")</f>
        <v/>
      </c>
      <c r="L51" s="61" t="e">
        <f>IF(AND('Mapa final'!#REF!="Muy Baja",'Mapa final'!#REF!="Leve"),CONCATENATE("R6C",'Mapa final'!#REF!),"")</f>
        <v>#REF!</v>
      </c>
      <c r="M51" s="61" t="e">
        <f>IF(AND('Mapa final'!#REF!="Muy Baja",'Mapa final'!#REF!="Leve"),CONCATENATE("R6C",'Mapa final'!#REF!),"")</f>
        <v>#REF!</v>
      </c>
      <c r="N51" s="61" t="e">
        <f>IF(AND('Mapa final'!#REF!="Muy Baja",'Mapa final'!#REF!="Leve"),CONCATENATE("R6C",'Mapa final'!#REF!),"")</f>
        <v>#REF!</v>
      </c>
      <c r="O51" s="62" t="e">
        <f>IF(AND('Mapa final'!#REF!="Muy Baja",'Mapa final'!#REF!="Leve"),CONCATENATE("R6C",'Mapa final'!#REF!),"")</f>
        <v>#REF!</v>
      </c>
      <c r="P51" s="60" t="str">
        <f ca="1">IF(AND('Mapa final'!$AY$19="Muy Baja",'Mapa final'!$BA$19="Menor"),CONCATENATE("R6C",'Mapa final'!$AL$19),"")</f>
        <v/>
      </c>
      <c r="Q51" s="61" t="str">
        <f ca="1">IF(AND('Mapa final'!$AY$20="Muy Baja",'Mapa final'!$BA$20="Menor"),CONCATENATE("R6C",'Mapa final'!$AL$20),"")</f>
        <v/>
      </c>
      <c r="R51" s="61" t="e">
        <f>IF(AND('Mapa final'!#REF!="Muy Baja",'Mapa final'!#REF!="Menor"),CONCATENATE("R6C",'Mapa final'!#REF!),"")</f>
        <v>#REF!</v>
      </c>
      <c r="S51" s="61" t="e">
        <f>IF(AND('Mapa final'!#REF!="Muy Baja",'Mapa final'!#REF!="Menor"),CONCATENATE("R6C",'Mapa final'!#REF!),"")</f>
        <v>#REF!</v>
      </c>
      <c r="T51" s="61" t="e">
        <f>IF(AND('Mapa final'!#REF!="Muy Baja",'Mapa final'!#REF!="Menor"),CONCATENATE("R6C",'Mapa final'!#REF!),"")</f>
        <v>#REF!</v>
      </c>
      <c r="U51" s="62" t="e">
        <f>IF(AND('Mapa final'!#REF!="Muy Baja",'Mapa final'!#REF!="Menor"),CONCATENATE("R6C",'Mapa final'!#REF!),"")</f>
        <v>#REF!</v>
      </c>
      <c r="V51" s="51" t="str">
        <f ca="1">IF(AND('Mapa final'!$AY$19="Muy Baja",'Mapa final'!$BA$19="Moderado"),CONCATENATE("R6C",'Mapa final'!$AL$19),"")</f>
        <v/>
      </c>
      <c r="W51" s="52" t="str">
        <f ca="1">IF(AND('Mapa final'!$AY$20="Muy Baja",'Mapa final'!$BA$20="Moderado"),CONCATENATE("R6C",'Mapa final'!$AL$20),"")</f>
        <v/>
      </c>
      <c r="X51" s="52" t="e">
        <f>IF(AND('Mapa final'!#REF!="Muy Baja",'Mapa final'!#REF!="Moderado"),CONCATENATE("R6C",'Mapa final'!#REF!),"")</f>
        <v>#REF!</v>
      </c>
      <c r="Y51" s="52" t="e">
        <f>IF(AND('Mapa final'!#REF!="Muy Baja",'Mapa final'!#REF!="Moderado"),CONCATENATE("R6C",'Mapa final'!#REF!),"")</f>
        <v>#REF!</v>
      </c>
      <c r="Z51" s="52" t="e">
        <f>IF(AND('Mapa final'!#REF!="Muy Baja",'Mapa final'!#REF!="Moderado"),CONCATENATE("R6C",'Mapa final'!#REF!),"")</f>
        <v>#REF!</v>
      </c>
      <c r="AA51" s="53" t="e">
        <f>IF(AND('Mapa final'!#REF!="Muy Baja",'Mapa final'!#REF!="Moderado"),CONCATENATE("R6C",'Mapa final'!#REF!),"")</f>
        <v>#REF!</v>
      </c>
      <c r="AB51" s="36" t="str">
        <f ca="1">IF(AND('Mapa final'!$AY$19="Muy Baja",'Mapa final'!$BA$19="Mayor"),CONCATENATE("R6C",'Mapa final'!$AL$19),"")</f>
        <v/>
      </c>
      <c r="AC51" s="37" t="str">
        <f ca="1">IF(AND('Mapa final'!$AY$20="Muy Baja",'Mapa final'!$BA$20="Mayor"),CONCATENATE("R6C",'Mapa final'!$AL$20),"")</f>
        <v/>
      </c>
      <c r="AD51" s="37" t="e">
        <f>IF(AND('Mapa final'!#REF!="Muy Baja",'Mapa final'!#REF!="Mayor"),CONCATENATE("R6C",'Mapa final'!#REF!),"")</f>
        <v>#REF!</v>
      </c>
      <c r="AE51" s="37" t="e">
        <f>IF(AND('Mapa final'!#REF!="Muy Baja",'Mapa final'!#REF!="Mayor"),CONCATENATE("R6C",'Mapa final'!#REF!),"")</f>
        <v>#REF!</v>
      </c>
      <c r="AF51" s="37" t="e">
        <f>IF(AND('Mapa final'!#REF!="Muy Baja",'Mapa final'!#REF!="Mayor"),CONCATENATE("R6C",'Mapa final'!#REF!),"")</f>
        <v>#REF!</v>
      </c>
      <c r="AG51" s="38" t="e">
        <f>IF(AND('Mapa final'!#REF!="Muy Baja",'Mapa final'!#REF!="Mayor"),CONCATENATE("R6C",'Mapa final'!#REF!),"")</f>
        <v>#REF!</v>
      </c>
      <c r="AH51" s="39" t="str">
        <f ca="1">IF(AND('Mapa final'!$AY$19="Muy Baja",'Mapa final'!$BA$19="Catastrófico"),CONCATENATE("R6C",'Mapa final'!$AL$19),"")</f>
        <v/>
      </c>
      <c r="AI51" s="40" t="str">
        <f ca="1">IF(AND('Mapa final'!$AY$20="Muy Baja",'Mapa final'!$BA$20="Catastrófico"),CONCATENATE("R6C",'Mapa final'!$AL$20),"")</f>
        <v/>
      </c>
      <c r="AJ51" s="40" t="e">
        <f>IF(AND('Mapa final'!#REF!="Muy Baja",'Mapa final'!#REF!="Catastrófico"),CONCATENATE("R6C",'Mapa final'!#REF!),"")</f>
        <v>#REF!</v>
      </c>
      <c r="AK51" s="40" t="e">
        <f>IF(AND('Mapa final'!#REF!="Muy Baja",'Mapa final'!#REF!="Catastrófico"),CONCATENATE("R6C",'Mapa final'!#REF!),"")</f>
        <v>#REF!</v>
      </c>
      <c r="AL51" s="40" t="e">
        <f>IF(AND('Mapa final'!#REF!="Muy Baja",'Mapa final'!#REF!="Catastrófico"),CONCATENATE("R6C",'Mapa final'!#REF!),"")</f>
        <v>#REF!</v>
      </c>
      <c r="AM51" s="4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258"/>
      <c r="C52" s="170"/>
      <c r="D52" s="171"/>
      <c r="E52" s="182"/>
      <c r="F52" s="170"/>
      <c r="G52" s="170"/>
      <c r="H52" s="170"/>
      <c r="I52" s="171"/>
      <c r="J52" s="60" t="str">
        <f ca="1">IF(AND('Mapa final'!$AY$21="Muy Baja",'Mapa final'!$BA$21="Leve"),CONCATENATE("R7C",'Mapa final'!$AL$21),"")</f>
        <v/>
      </c>
      <c r="K52" s="61" t="str">
        <f ca="1">IF(AND('Mapa final'!$AY$22="Muy Baja",'Mapa final'!$BA$22="Leve"),CONCATENATE("R7C",'Mapa final'!$AL$22),"")</f>
        <v/>
      </c>
      <c r="L52" s="61" t="e">
        <f>IF(AND('Mapa final'!#REF!="Muy Baja",'Mapa final'!#REF!="Leve"),CONCATENATE("R7C",'Mapa final'!#REF!),"")</f>
        <v>#REF!</v>
      </c>
      <c r="M52" s="61" t="e">
        <f>IF(AND('Mapa final'!#REF!="Muy Baja",'Mapa final'!#REF!="Leve"),CONCATENATE("R7C",'Mapa final'!#REF!),"")</f>
        <v>#REF!</v>
      </c>
      <c r="N52" s="61" t="e">
        <f>IF(AND('Mapa final'!#REF!="Muy Baja",'Mapa final'!#REF!="Leve"),CONCATENATE("R7C",'Mapa final'!#REF!),"")</f>
        <v>#REF!</v>
      </c>
      <c r="O52" s="62" t="e">
        <f>IF(AND('Mapa final'!#REF!="Muy Baja",'Mapa final'!#REF!="Leve"),CONCATENATE("R7C",'Mapa final'!#REF!),"")</f>
        <v>#REF!</v>
      </c>
      <c r="P52" s="60" t="str">
        <f ca="1">IF(AND('Mapa final'!$AY$21="Muy Baja",'Mapa final'!$BA$21="Menor"),CONCATENATE("R7C",'Mapa final'!$AL$21),"")</f>
        <v/>
      </c>
      <c r="Q52" s="61" t="str">
        <f ca="1">IF(AND('Mapa final'!$AY$22="Muy Baja",'Mapa final'!$BA$22="Menor"),CONCATENATE("R7C",'Mapa final'!$AL$22),"")</f>
        <v/>
      </c>
      <c r="R52" s="61" t="e">
        <f>IF(AND('Mapa final'!#REF!="Muy Baja",'Mapa final'!#REF!="Menor"),CONCATENATE("R7C",'Mapa final'!#REF!),"")</f>
        <v>#REF!</v>
      </c>
      <c r="S52" s="61" t="e">
        <f>IF(AND('Mapa final'!#REF!="Muy Baja",'Mapa final'!#REF!="Menor"),CONCATENATE("R7C",'Mapa final'!#REF!),"")</f>
        <v>#REF!</v>
      </c>
      <c r="T52" s="61" t="e">
        <f>IF(AND('Mapa final'!#REF!="Muy Baja",'Mapa final'!#REF!="Menor"),CONCATENATE("R7C",'Mapa final'!#REF!),"")</f>
        <v>#REF!</v>
      </c>
      <c r="U52" s="62" t="e">
        <f>IF(AND('Mapa final'!#REF!="Muy Baja",'Mapa final'!#REF!="Menor"),CONCATENATE("R7C",'Mapa final'!#REF!),"")</f>
        <v>#REF!</v>
      </c>
      <c r="V52" s="51" t="str">
        <f ca="1">IF(AND('Mapa final'!$AY$21="Muy Baja",'Mapa final'!$BA$21="Moderado"),CONCATENATE("R7C",'Mapa final'!$AL$21),"")</f>
        <v/>
      </c>
      <c r="W52" s="52" t="str">
        <f ca="1">IF(AND('Mapa final'!$AY$22="Muy Baja",'Mapa final'!$BA$22="Moderado"),CONCATENATE("R7C",'Mapa final'!$AL$22),"")</f>
        <v/>
      </c>
      <c r="X52" s="52" t="e">
        <f>IF(AND('Mapa final'!#REF!="Muy Baja",'Mapa final'!#REF!="Moderado"),CONCATENATE("R7C",'Mapa final'!#REF!),"")</f>
        <v>#REF!</v>
      </c>
      <c r="Y52" s="52" t="e">
        <f>IF(AND('Mapa final'!#REF!="Muy Baja",'Mapa final'!#REF!="Moderado"),CONCATENATE("R7C",'Mapa final'!#REF!),"")</f>
        <v>#REF!</v>
      </c>
      <c r="Z52" s="52" t="e">
        <f>IF(AND('Mapa final'!#REF!="Muy Baja",'Mapa final'!#REF!="Moderado"),CONCATENATE("R7C",'Mapa final'!#REF!),"")</f>
        <v>#REF!</v>
      </c>
      <c r="AA52" s="53" t="e">
        <f>IF(AND('Mapa final'!#REF!="Muy Baja",'Mapa final'!#REF!="Moderado"),CONCATENATE("R7C",'Mapa final'!#REF!),"")</f>
        <v>#REF!</v>
      </c>
      <c r="AB52" s="36" t="str">
        <f ca="1">IF(AND('Mapa final'!$AY$21="Muy Baja",'Mapa final'!$BA$21="Mayor"),CONCATENATE("R7C",'Mapa final'!$AL$21),"")</f>
        <v/>
      </c>
      <c r="AC52" s="37" t="str">
        <f ca="1">IF(AND('Mapa final'!$AY$22="Muy Baja",'Mapa final'!$BA$22="Mayor"),CONCATENATE("R7C",'Mapa final'!$AL$22),"")</f>
        <v/>
      </c>
      <c r="AD52" s="37" t="e">
        <f>IF(AND('Mapa final'!#REF!="Muy Baja",'Mapa final'!#REF!="Mayor"),CONCATENATE("R7C",'Mapa final'!#REF!),"")</f>
        <v>#REF!</v>
      </c>
      <c r="AE52" s="37" t="e">
        <f>IF(AND('Mapa final'!#REF!="Muy Baja",'Mapa final'!#REF!="Mayor"),CONCATENATE("R7C",'Mapa final'!#REF!),"")</f>
        <v>#REF!</v>
      </c>
      <c r="AF52" s="37" t="e">
        <f>IF(AND('Mapa final'!#REF!="Muy Baja",'Mapa final'!#REF!="Mayor"),CONCATENATE("R7C",'Mapa final'!#REF!),"")</f>
        <v>#REF!</v>
      </c>
      <c r="AG52" s="38" t="e">
        <f>IF(AND('Mapa final'!#REF!="Muy Baja",'Mapa final'!#REF!="Mayor"),CONCATENATE("R7C",'Mapa final'!#REF!),"")</f>
        <v>#REF!</v>
      </c>
      <c r="AH52" s="39" t="str">
        <f ca="1">IF(AND('Mapa final'!$AY$21="Muy Baja",'Mapa final'!$BA$21="Catastrófico"),CONCATENATE("R7C",'Mapa final'!$AL$21),"")</f>
        <v/>
      </c>
      <c r="AI52" s="40" t="str">
        <f ca="1">IF(AND('Mapa final'!$AY$22="Muy Baja",'Mapa final'!$BA$22="Catastrófico"),CONCATENATE("R7C",'Mapa final'!$AL$22),"")</f>
        <v/>
      </c>
      <c r="AJ52" s="40" t="e">
        <f>IF(AND('Mapa final'!#REF!="Muy Baja",'Mapa final'!#REF!="Catastrófico"),CONCATENATE("R7C",'Mapa final'!#REF!),"")</f>
        <v>#REF!</v>
      </c>
      <c r="AK52" s="40" t="e">
        <f>IF(AND('Mapa final'!#REF!="Muy Baja",'Mapa final'!#REF!="Catastrófico"),CONCATENATE("R7C",'Mapa final'!#REF!),"")</f>
        <v>#REF!</v>
      </c>
      <c r="AL52" s="40" t="e">
        <f>IF(AND('Mapa final'!#REF!="Muy Baja",'Mapa final'!#REF!="Catastrófico"),CONCATENATE("R7C",'Mapa final'!#REF!),"")</f>
        <v>#REF!</v>
      </c>
      <c r="AM52" s="4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58"/>
      <c r="C53" s="170"/>
      <c r="D53" s="171"/>
      <c r="E53" s="182"/>
      <c r="F53" s="170"/>
      <c r="G53" s="170"/>
      <c r="H53" s="170"/>
      <c r="I53" s="171"/>
      <c r="J53" s="60" t="str">
        <f ca="1">IF(AND('Mapa final'!$AY$23="Muy Baja",'Mapa final'!$BA$23="Leve"),CONCATENATE("R8C",'Mapa final'!$AL$23),"")</f>
        <v/>
      </c>
      <c r="K53" s="61" t="e">
        <f>IF(AND('Mapa final'!#REF!="Muy Baja",'Mapa final'!#REF!="Leve"),CONCATENATE("R8C",'Mapa final'!#REF!),"")</f>
        <v>#REF!</v>
      </c>
      <c r="L53" s="61" t="e">
        <f>IF(AND('Mapa final'!#REF!="Muy Baja",'Mapa final'!#REF!="Leve"),CONCATENATE("R8C",'Mapa final'!#REF!),"")</f>
        <v>#REF!</v>
      </c>
      <c r="M53" s="61" t="e">
        <f>IF(AND('Mapa final'!#REF!="Muy Baja",'Mapa final'!#REF!="Leve"),CONCATENATE("R8C",'Mapa final'!#REF!),"")</f>
        <v>#REF!</v>
      </c>
      <c r="N53" s="61" t="e">
        <f>IF(AND('Mapa final'!#REF!="Muy Baja",'Mapa final'!#REF!="Leve"),CONCATENATE("R8C",'Mapa final'!#REF!),"")</f>
        <v>#REF!</v>
      </c>
      <c r="O53" s="62" t="e">
        <f>IF(AND('Mapa final'!#REF!="Muy Baja",'Mapa final'!#REF!="Leve"),CONCATENATE("R8C",'Mapa final'!#REF!),"")</f>
        <v>#REF!</v>
      </c>
      <c r="P53" s="60" t="str">
        <f ca="1">IF(AND('Mapa final'!$AY$23="Muy Baja",'Mapa final'!$BA$23="Menor"),CONCATENATE("R8C",'Mapa final'!$AL$23),"")</f>
        <v/>
      </c>
      <c r="Q53" s="61" t="e">
        <f>IF(AND('Mapa final'!#REF!="Muy Baja",'Mapa final'!#REF!="Menor"),CONCATENATE("R8C",'Mapa final'!#REF!),"")</f>
        <v>#REF!</v>
      </c>
      <c r="R53" s="61" t="e">
        <f>IF(AND('Mapa final'!#REF!="Muy Baja",'Mapa final'!#REF!="Menor"),CONCATENATE("R8C",'Mapa final'!#REF!),"")</f>
        <v>#REF!</v>
      </c>
      <c r="S53" s="61" t="e">
        <f>IF(AND('Mapa final'!#REF!="Muy Baja",'Mapa final'!#REF!="Menor"),CONCATENATE("R8C",'Mapa final'!#REF!),"")</f>
        <v>#REF!</v>
      </c>
      <c r="T53" s="61" t="e">
        <f>IF(AND('Mapa final'!#REF!="Muy Baja",'Mapa final'!#REF!="Menor"),CONCATENATE("R8C",'Mapa final'!#REF!),"")</f>
        <v>#REF!</v>
      </c>
      <c r="U53" s="62" t="e">
        <f>IF(AND('Mapa final'!#REF!="Muy Baja",'Mapa final'!#REF!="Menor"),CONCATENATE("R8C",'Mapa final'!#REF!),"")</f>
        <v>#REF!</v>
      </c>
      <c r="V53" s="51" t="str">
        <f ca="1">IF(AND('Mapa final'!$AY$23="Muy Baja",'Mapa final'!$BA$23="Moderado"),CONCATENATE("R8C",'Mapa final'!$AL$23),"")</f>
        <v/>
      </c>
      <c r="W53" s="52" t="e">
        <f>IF(AND('Mapa final'!#REF!="Muy Baja",'Mapa final'!#REF!="Moderado"),CONCATENATE("R8C",'Mapa final'!#REF!),"")</f>
        <v>#REF!</v>
      </c>
      <c r="X53" s="52" t="e">
        <f>IF(AND('Mapa final'!#REF!="Muy Baja",'Mapa final'!#REF!="Moderado"),CONCATENATE("R8C",'Mapa final'!#REF!),"")</f>
        <v>#REF!</v>
      </c>
      <c r="Y53" s="52" t="e">
        <f>IF(AND('Mapa final'!#REF!="Muy Baja",'Mapa final'!#REF!="Moderado"),CONCATENATE("R8C",'Mapa final'!#REF!),"")</f>
        <v>#REF!</v>
      </c>
      <c r="Z53" s="52" t="e">
        <f>IF(AND('Mapa final'!#REF!="Muy Baja",'Mapa final'!#REF!="Moderado"),CONCATENATE("R8C",'Mapa final'!#REF!),"")</f>
        <v>#REF!</v>
      </c>
      <c r="AA53" s="53" t="e">
        <f>IF(AND('Mapa final'!#REF!="Muy Baja",'Mapa final'!#REF!="Moderado"),CONCATENATE("R8C",'Mapa final'!#REF!),"")</f>
        <v>#REF!</v>
      </c>
      <c r="AB53" s="36" t="str">
        <f ca="1">IF(AND('Mapa final'!$AY$23="Muy Baja",'Mapa final'!$BA$23="Mayor"),CONCATENATE("R8C",'Mapa final'!$AL$23),"")</f>
        <v/>
      </c>
      <c r="AC53" s="37" t="e">
        <f>IF(AND('Mapa final'!#REF!="Muy Baja",'Mapa final'!#REF!="Mayor"),CONCATENATE("R8C",'Mapa final'!#REF!),"")</f>
        <v>#REF!</v>
      </c>
      <c r="AD53" s="37" t="e">
        <f>IF(AND('Mapa final'!#REF!="Muy Baja",'Mapa final'!#REF!="Mayor"),CONCATENATE("R8C",'Mapa final'!#REF!),"")</f>
        <v>#REF!</v>
      </c>
      <c r="AE53" s="37" t="e">
        <f>IF(AND('Mapa final'!#REF!="Muy Baja",'Mapa final'!#REF!="Mayor"),CONCATENATE("R8C",'Mapa final'!#REF!),"")</f>
        <v>#REF!</v>
      </c>
      <c r="AF53" s="37" t="e">
        <f>IF(AND('Mapa final'!#REF!="Muy Baja",'Mapa final'!#REF!="Mayor"),CONCATENATE("R8C",'Mapa final'!#REF!),"")</f>
        <v>#REF!</v>
      </c>
      <c r="AG53" s="38" t="e">
        <f>IF(AND('Mapa final'!#REF!="Muy Baja",'Mapa final'!#REF!="Mayor"),CONCATENATE("R8C",'Mapa final'!#REF!),"")</f>
        <v>#REF!</v>
      </c>
      <c r="AH53" s="39" t="str">
        <f ca="1">IF(AND('Mapa final'!$AY$23="Muy Baja",'Mapa final'!$BA$23="Catastrófico"),CONCATENATE("R8C",'Mapa final'!$AL$23),"")</f>
        <v/>
      </c>
      <c r="AI53" s="40" t="e">
        <f>IF(AND('Mapa final'!#REF!="Muy Baja",'Mapa final'!#REF!="Catastrófico"),CONCATENATE("R8C",'Mapa final'!#REF!),"")</f>
        <v>#REF!</v>
      </c>
      <c r="AJ53" s="40" t="e">
        <f>IF(AND('Mapa final'!#REF!="Muy Baja",'Mapa final'!#REF!="Catastrófico"),CONCATENATE("R8C",'Mapa final'!#REF!),"")</f>
        <v>#REF!</v>
      </c>
      <c r="AK53" s="40" t="e">
        <f>IF(AND('Mapa final'!#REF!="Muy Baja",'Mapa final'!#REF!="Catastrófico"),CONCATENATE("R8C",'Mapa final'!#REF!),"")</f>
        <v>#REF!</v>
      </c>
      <c r="AL53" s="40" t="e">
        <f>IF(AND('Mapa final'!#REF!="Muy Baja",'Mapa final'!#REF!="Catastrófico"),CONCATENATE("R8C",'Mapa final'!#REF!),"")</f>
        <v>#REF!</v>
      </c>
      <c r="AM53" s="4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258"/>
      <c r="C54" s="170"/>
      <c r="D54" s="171"/>
      <c r="E54" s="182"/>
      <c r="F54" s="170"/>
      <c r="G54" s="170"/>
      <c r="H54" s="170"/>
      <c r="I54" s="171"/>
      <c r="J54" s="60" t="str">
        <f ca="1">IF(AND('Mapa final'!$AY$24="Muy Baja",'Mapa final'!$BA$24="Leve"),CONCATENATE("R9C",'Mapa final'!$AL$24),"")</f>
        <v/>
      </c>
      <c r="K54" s="61" t="e">
        <f>IF(AND('Mapa final'!#REF!="Muy Baja",'Mapa final'!#REF!="Leve"),CONCATENATE("R9C",'Mapa final'!#REF!),"")</f>
        <v>#REF!</v>
      </c>
      <c r="L54" s="61" t="e">
        <f>IF(AND('Mapa final'!#REF!="Muy Baja",'Mapa final'!#REF!="Leve"),CONCATENATE("R9C",'Mapa final'!#REF!),"")</f>
        <v>#REF!</v>
      </c>
      <c r="M54" s="61" t="e">
        <f>IF(AND('Mapa final'!#REF!="Muy Baja",'Mapa final'!#REF!="Leve"),CONCATENATE("R9C",'Mapa final'!#REF!),"")</f>
        <v>#REF!</v>
      </c>
      <c r="N54" s="61" t="e">
        <f>IF(AND('Mapa final'!#REF!="Muy Baja",'Mapa final'!#REF!="Leve"),CONCATENATE("R9C",'Mapa final'!#REF!),"")</f>
        <v>#REF!</v>
      </c>
      <c r="O54" s="62" t="e">
        <f>IF(AND('Mapa final'!#REF!="Muy Baja",'Mapa final'!#REF!="Leve"),CONCATENATE("R9C",'Mapa final'!#REF!),"")</f>
        <v>#REF!</v>
      </c>
      <c r="P54" s="60" t="str">
        <f ca="1">IF(AND('Mapa final'!$AY$24="Muy Baja",'Mapa final'!$BA$24="Menor"),CONCATENATE("R9C",'Mapa final'!$AL$24),"")</f>
        <v/>
      </c>
      <c r="Q54" s="61" t="e">
        <f>IF(AND('Mapa final'!#REF!="Muy Baja",'Mapa final'!#REF!="Menor"),CONCATENATE("R9C",'Mapa final'!#REF!),"")</f>
        <v>#REF!</v>
      </c>
      <c r="R54" s="61" t="e">
        <f>IF(AND('Mapa final'!#REF!="Muy Baja",'Mapa final'!#REF!="Menor"),CONCATENATE("R9C",'Mapa final'!#REF!),"")</f>
        <v>#REF!</v>
      </c>
      <c r="S54" s="61" t="e">
        <f>IF(AND('Mapa final'!#REF!="Muy Baja",'Mapa final'!#REF!="Menor"),CONCATENATE("R9C",'Mapa final'!#REF!),"")</f>
        <v>#REF!</v>
      </c>
      <c r="T54" s="61" t="e">
        <f>IF(AND('Mapa final'!#REF!="Muy Baja",'Mapa final'!#REF!="Menor"),CONCATENATE("R9C",'Mapa final'!#REF!),"")</f>
        <v>#REF!</v>
      </c>
      <c r="U54" s="62" t="e">
        <f>IF(AND('Mapa final'!#REF!="Muy Baja",'Mapa final'!#REF!="Menor"),CONCATENATE("R9C",'Mapa final'!#REF!),"")</f>
        <v>#REF!</v>
      </c>
      <c r="V54" s="51" t="str">
        <f ca="1">IF(AND('Mapa final'!$AY$24="Muy Baja",'Mapa final'!$BA$24="Moderado"),CONCATENATE("R9C",'Mapa final'!$AL$24),"")</f>
        <v/>
      </c>
      <c r="W54" s="52" t="e">
        <f>IF(AND('Mapa final'!#REF!="Muy Baja",'Mapa final'!#REF!="Moderado"),CONCATENATE("R9C",'Mapa final'!#REF!),"")</f>
        <v>#REF!</v>
      </c>
      <c r="X54" s="52" t="e">
        <f>IF(AND('Mapa final'!#REF!="Muy Baja",'Mapa final'!#REF!="Moderado"),CONCATENATE("R9C",'Mapa final'!#REF!),"")</f>
        <v>#REF!</v>
      </c>
      <c r="Y54" s="52" t="e">
        <f>IF(AND('Mapa final'!#REF!="Muy Baja",'Mapa final'!#REF!="Moderado"),CONCATENATE("R9C",'Mapa final'!#REF!),"")</f>
        <v>#REF!</v>
      </c>
      <c r="Z54" s="52" t="e">
        <f>IF(AND('Mapa final'!#REF!="Muy Baja",'Mapa final'!#REF!="Moderado"),CONCATENATE("R9C",'Mapa final'!#REF!),"")</f>
        <v>#REF!</v>
      </c>
      <c r="AA54" s="53" t="e">
        <f>IF(AND('Mapa final'!#REF!="Muy Baja",'Mapa final'!#REF!="Moderado"),CONCATENATE("R9C",'Mapa final'!#REF!),"")</f>
        <v>#REF!</v>
      </c>
      <c r="AB54" s="36" t="str">
        <f ca="1">IF(AND('Mapa final'!$AY$24="Muy Baja",'Mapa final'!$BA$24="Mayor"),CONCATENATE("R9C",'Mapa final'!$AL$24),"")</f>
        <v/>
      </c>
      <c r="AC54" s="37" t="e">
        <f>IF(AND('Mapa final'!#REF!="Muy Baja",'Mapa final'!#REF!="Mayor"),CONCATENATE("R9C",'Mapa final'!#REF!),"")</f>
        <v>#REF!</v>
      </c>
      <c r="AD54" s="37" t="e">
        <f>IF(AND('Mapa final'!#REF!="Muy Baja",'Mapa final'!#REF!="Mayor"),CONCATENATE("R9C",'Mapa final'!#REF!),"")</f>
        <v>#REF!</v>
      </c>
      <c r="AE54" s="37" t="e">
        <f>IF(AND('Mapa final'!#REF!="Muy Baja",'Mapa final'!#REF!="Mayor"),CONCATENATE("R9C",'Mapa final'!#REF!),"")</f>
        <v>#REF!</v>
      </c>
      <c r="AF54" s="37" t="e">
        <f>IF(AND('Mapa final'!#REF!="Muy Baja",'Mapa final'!#REF!="Mayor"),CONCATENATE("R9C",'Mapa final'!#REF!),"")</f>
        <v>#REF!</v>
      </c>
      <c r="AG54" s="38" t="e">
        <f>IF(AND('Mapa final'!#REF!="Muy Baja",'Mapa final'!#REF!="Mayor"),CONCATENATE("R9C",'Mapa final'!#REF!),"")</f>
        <v>#REF!</v>
      </c>
      <c r="AH54" s="39" t="str">
        <f ca="1">IF(AND('Mapa final'!$AY$24="Muy Baja",'Mapa final'!$BA$24="Catastrófico"),CONCATENATE("R9C",'Mapa final'!$AL$24),"")</f>
        <v/>
      </c>
      <c r="AI54" s="40" t="e">
        <f>IF(AND('Mapa final'!#REF!="Muy Baja",'Mapa final'!#REF!="Catastrófico"),CONCATENATE("R9C",'Mapa final'!#REF!),"")</f>
        <v>#REF!</v>
      </c>
      <c r="AJ54" s="40" t="e">
        <f>IF(AND('Mapa final'!#REF!="Muy Baja",'Mapa final'!#REF!="Catastrófico"),CONCATENATE("R9C",'Mapa final'!#REF!),"")</f>
        <v>#REF!</v>
      </c>
      <c r="AK54" s="40" t="e">
        <f>IF(AND('Mapa final'!#REF!="Muy Baja",'Mapa final'!#REF!="Catastrófico"),CONCATENATE("R9C",'Mapa final'!#REF!),"")</f>
        <v>#REF!</v>
      </c>
      <c r="AL54" s="40" t="e">
        <f>IF(AND('Mapa final'!#REF!="Muy Baja",'Mapa final'!#REF!="Catastrófico"),CONCATENATE("R9C",'Mapa final'!#REF!),"")</f>
        <v>#REF!</v>
      </c>
      <c r="AM54" s="4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228"/>
      <c r="C55" s="260"/>
      <c r="D55" s="229"/>
      <c r="E55" s="248"/>
      <c r="F55" s="249"/>
      <c r="G55" s="249"/>
      <c r="H55" s="249"/>
      <c r="I55" s="252"/>
      <c r="J55" s="63" t="str">
        <f ca="1">IF(AND('Mapa final'!$AY$25="Muy Baja",'Mapa final'!$BA$25="Leve"),CONCATENATE("R10C",'Mapa final'!$AL$25),"")</f>
        <v/>
      </c>
      <c r="K55" s="64" t="str">
        <f ca="1">IF(AND('Mapa final'!$AY$26="Muy Baja",'Mapa final'!$BA$26="Leve"),CONCATENATE("R10C",'Mapa final'!$AL$26),"")</f>
        <v/>
      </c>
      <c r="L55" s="64" t="e">
        <f>IF(AND('Mapa final'!#REF!="Muy Baja",'Mapa final'!#REF!="Leve"),CONCATENATE("R10C",'Mapa final'!#REF!),"")</f>
        <v>#REF!</v>
      </c>
      <c r="M55" s="64" t="e">
        <f>IF(AND('Mapa final'!#REF!="Muy Baja",'Mapa final'!#REF!="Leve"),CONCATENATE("R10C",'Mapa final'!#REF!),"")</f>
        <v>#REF!</v>
      </c>
      <c r="N55" s="64" t="e">
        <f>IF(AND('Mapa final'!#REF!="Muy Baja",'Mapa final'!#REF!="Leve"),CONCATENATE("R10C",'Mapa final'!#REF!),"")</f>
        <v>#REF!</v>
      </c>
      <c r="O55" s="65" t="e">
        <f>IF(AND('Mapa final'!#REF!="Muy Baja",'Mapa final'!#REF!="Leve"),CONCATENATE("R10C",'Mapa final'!#REF!),"")</f>
        <v>#REF!</v>
      </c>
      <c r="P55" s="63" t="str">
        <f ca="1">IF(AND('Mapa final'!$AY$25="Muy Baja",'Mapa final'!$BA$25="Menor"),CONCATENATE("R10C",'Mapa final'!$AL$25),"")</f>
        <v/>
      </c>
      <c r="Q55" s="64" t="str">
        <f ca="1">IF(AND('Mapa final'!$AY$26="Muy Baja",'Mapa final'!$BA$26="Menor"),CONCATENATE("R10C",'Mapa final'!$AL$26),"")</f>
        <v/>
      </c>
      <c r="R55" s="64" t="e">
        <f>IF(AND('Mapa final'!#REF!="Muy Baja",'Mapa final'!#REF!="Menor"),CONCATENATE("R10C",'Mapa final'!#REF!),"")</f>
        <v>#REF!</v>
      </c>
      <c r="S55" s="64" t="e">
        <f>IF(AND('Mapa final'!#REF!="Muy Baja",'Mapa final'!#REF!="Menor"),CONCATENATE("R10C",'Mapa final'!#REF!),"")</f>
        <v>#REF!</v>
      </c>
      <c r="T55" s="64" t="e">
        <f>IF(AND('Mapa final'!#REF!="Muy Baja",'Mapa final'!#REF!="Menor"),CONCATENATE("R10C",'Mapa final'!#REF!),"")</f>
        <v>#REF!</v>
      </c>
      <c r="U55" s="65" t="e">
        <f>IF(AND('Mapa final'!#REF!="Muy Baja",'Mapa final'!#REF!="Menor"),CONCATENATE("R10C",'Mapa final'!#REF!),"")</f>
        <v>#REF!</v>
      </c>
      <c r="V55" s="54" t="str">
        <f ca="1">IF(AND('Mapa final'!$AY$25="Muy Baja",'Mapa final'!$BA$25="Moderado"),CONCATENATE("R10C",'Mapa final'!$AL$25),"")</f>
        <v/>
      </c>
      <c r="W55" s="55" t="str">
        <f ca="1">IF(AND('Mapa final'!$AY$26="Muy Baja",'Mapa final'!$BA$26="Moderado"),CONCATENATE("R10C",'Mapa final'!$AL$26),"")</f>
        <v/>
      </c>
      <c r="X55" s="55" t="e">
        <f>IF(AND('Mapa final'!#REF!="Muy Baja",'Mapa final'!#REF!="Moderado"),CONCATENATE("R10C",'Mapa final'!#REF!),"")</f>
        <v>#REF!</v>
      </c>
      <c r="Y55" s="55" t="e">
        <f>IF(AND('Mapa final'!#REF!="Muy Baja",'Mapa final'!#REF!="Moderado"),CONCATENATE("R10C",'Mapa final'!#REF!),"")</f>
        <v>#REF!</v>
      </c>
      <c r="Z55" s="55" t="e">
        <f>IF(AND('Mapa final'!#REF!="Muy Baja",'Mapa final'!#REF!="Moderado"),CONCATENATE("R10C",'Mapa final'!#REF!),"")</f>
        <v>#REF!</v>
      </c>
      <c r="AA55" s="56" t="e">
        <f>IF(AND('Mapa final'!#REF!="Muy Baja",'Mapa final'!#REF!="Moderado"),CONCATENATE("R10C",'Mapa final'!#REF!),"")</f>
        <v>#REF!</v>
      </c>
      <c r="AB55" s="42" t="str">
        <f ca="1">IF(AND('Mapa final'!$AY$25="Muy Baja",'Mapa final'!$BA$25="Mayor"),CONCATENATE("R10C",'Mapa final'!$AL$25),"")</f>
        <v/>
      </c>
      <c r="AC55" s="43" t="str">
        <f ca="1">IF(AND('Mapa final'!$AY$26="Muy Baja",'Mapa final'!$BA$26="Mayor"),CONCATENATE("R10C",'Mapa final'!$AL$26),"")</f>
        <v/>
      </c>
      <c r="AD55" s="43" t="e">
        <f>IF(AND('Mapa final'!#REF!="Muy Baja",'Mapa final'!#REF!="Mayor"),CONCATENATE("R10C",'Mapa final'!#REF!),"")</f>
        <v>#REF!</v>
      </c>
      <c r="AE55" s="43" t="e">
        <f>IF(AND('Mapa final'!#REF!="Muy Baja",'Mapa final'!#REF!="Mayor"),CONCATENATE("R10C",'Mapa final'!#REF!),"")</f>
        <v>#REF!</v>
      </c>
      <c r="AF55" s="43" t="e">
        <f>IF(AND('Mapa final'!#REF!="Muy Baja",'Mapa final'!#REF!="Mayor"),CONCATENATE("R10C",'Mapa final'!#REF!),"")</f>
        <v>#REF!</v>
      </c>
      <c r="AG55" s="44" t="e">
        <f>IF(AND('Mapa final'!#REF!="Muy Baja",'Mapa final'!#REF!="Mayor"),CONCATENATE("R10C",'Mapa final'!#REF!),"")</f>
        <v>#REF!</v>
      </c>
      <c r="AH55" s="45" t="str">
        <f ca="1">IF(AND('Mapa final'!$AY$25="Muy Baja",'Mapa final'!$BA$25="Catastrófico"),CONCATENATE("R10C",'Mapa final'!$AL$25),"")</f>
        <v/>
      </c>
      <c r="AI55" s="46" t="str">
        <f ca="1">IF(AND('Mapa final'!$AY$26="Muy Baja",'Mapa final'!$BA$26="Catastrófico"),CONCATENATE("R10C",'Mapa final'!$AL$26),"")</f>
        <v/>
      </c>
      <c r="AJ55" s="46" t="e">
        <f>IF(AND('Mapa final'!#REF!="Muy Baja",'Mapa final'!#REF!="Catastrófico"),CONCATENATE("R10C",'Mapa final'!#REF!),"")</f>
        <v>#REF!</v>
      </c>
      <c r="AK55" s="46" t="e">
        <f>IF(AND('Mapa final'!#REF!="Muy Baja",'Mapa final'!#REF!="Catastrófico"),CONCATENATE("R10C",'Mapa final'!#REF!),"")</f>
        <v>#REF!</v>
      </c>
      <c r="AL55" s="46" t="e">
        <f>IF(AND('Mapa final'!#REF!="Muy Baja",'Mapa final'!#REF!="Catastrófico"),CONCATENATE("R10C",'Mapa final'!#REF!),"")</f>
        <v>#REF!</v>
      </c>
      <c r="AM55" s="47"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276" t="s">
        <v>102</v>
      </c>
      <c r="K56" s="247"/>
      <c r="L56" s="247"/>
      <c r="M56" s="247"/>
      <c r="N56" s="247"/>
      <c r="O56" s="233"/>
      <c r="P56" s="276" t="s">
        <v>103</v>
      </c>
      <c r="Q56" s="247"/>
      <c r="R56" s="247"/>
      <c r="S56" s="247"/>
      <c r="T56" s="247"/>
      <c r="U56" s="233"/>
      <c r="V56" s="276" t="s">
        <v>104</v>
      </c>
      <c r="W56" s="247"/>
      <c r="X56" s="247"/>
      <c r="Y56" s="247"/>
      <c r="Z56" s="247"/>
      <c r="AA56" s="233"/>
      <c r="AB56" s="276" t="s">
        <v>105</v>
      </c>
      <c r="AC56" s="247"/>
      <c r="AD56" s="247"/>
      <c r="AE56" s="247"/>
      <c r="AF56" s="247"/>
      <c r="AG56" s="233"/>
      <c r="AH56" s="276" t="s">
        <v>106</v>
      </c>
      <c r="AI56" s="247"/>
      <c r="AJ56" s="247"/>
      <c r="AK56" s="247"/>
      <c r="AL56" s="247"/>
      <c r="AM56" s="233"/>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82"/>
      <c r="K57" s="170"/>
      <c r="L57" s="170"/>
      <c r="M57" s="170"/>
      <c r="N57" s="170"/>
      <c r="O57" s="171"/>
      <c r="P57" s="182"/>
      <c r="Q57" s="170"/>
      <c r="R57" s="170"/>
      <c r="S57" s="170"/>
      <c r="T57" s="170"/>
      <c r="U57" s="171"/>
      <c r="V57" s="182"/>
      <c r="W57" s="170"/>
      <c r="X57" s="170"/>
      <c r="Y57" s="170"/>
      <c r="Z57" s="170"/>
      <c r="AA57" s="171"/>
      <c r="AB57" s="182"/>
      <c r="AC57" s="170"/>
      <c r="AD57" s="170"/>
      <c r="AE57" s="170"/>
      <c r="AF57" s="170"/>
      <c r="AG57" s="171"/>
      <c r="AH57" s="182"/>
      <c r="AI57" s="170"/>
      <c r="AJ57" s="170"/>
      <c r="AK57" s="170"/>
      <c r="AL57" s="170"/>
      <c r="AM57" s="17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82"/>
      <c r="K58" s="170"/>
      <c r="L58" s="170"/>
      <c r="M58" s="170"/>
      <c r="N58" s="170"/>
      <c r="O58" s="171"/>
      <c r="P58" s="182"/>
      <c r="Q58" s="170"/>
      <c r="R58" s="170"/>
      <c r="S58" s="170"/>
      <c r="T58" s="170"/>
      <c r="U58" s="171"/>
      <c r="V58" s="182"/>
      <c r="W58" s="170"/>
      <c r="X58" s="170"/>
      <c r="Y58" s="170"/>
      <c r="Z58" s="170"/>
      <c r="AA58" s="171"/>
      <c r="AB58" s="182"/>
      <c r="AC58" s="170"/>
      <c r="AD58" s="170"/>
      <c r="AE58" s="170"/>
      <c r="AF58" s="170"/>
      <c r="AG58" s="171"/>
      <c r="AH58" s="182"/>
      <c r="AI58" s="170"/>
      <c r="AJ58" s="170"/>
      <c r="AK58" s="170"/>
      <c r="AL58" s="170"/>
      <c r="AM58" s="17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82"/>
      <c r="K59" s="170"/>
      <c r="L59" s="170"/>
      <c r="M59" s="170"/>
      <c r="N59" s="170"/>
      <c r="O59" s="171"/>
      <c r="P59" s="182"/>
      <c r="Q59" s="170"/>
      <c r="R59" s="170"/>
      <c r="S59" s="170"/>
      <c r="T59" s="170"/>
      <c r="U59" s="171"/>
      <c r="V59" s="182"/>
      <c r="W59" s="170"/>
      <c r="X59" s="170"/>
      <c r="Y59" s="170"/>
      <c r="Z59" s="170"/>
      <c r="AA59" s="171"/>
      <c r="AB59" s="182"/>
      <c r="AC59" s="170"/>
      <c r="AD59" s="170"/>
      <c r="AE59" s="170"/>
      <c r="AF59" s="170"/>
      <c r="AG59" s="171"/>
      <c r="AH59" s="182"/>
      <c r="AI59" s="170"/>
      <c r="AJ59" s="170"/>
      <c r="AK59" s="170"/>
      <c r="AL59" s="170"/>
      <c r="AM59" s="17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82"/>
      <c r="K60" s="170"/>
      <c r="L60" s="170"/>
      <c r="M60" s="170"/>
      <c r="N60" s="170"/>
      <c r="O60" s="171"/>
      <c r="P60" s="182"/>
      <c r="Q60" s="170"/>
      <c r="R60" s="170"/>
      <c r="S60" s="170"/>
      <c r="T60" s="170"/>
      <c r="U60" s="171"/>
      <c r="V60" s="182"/>
      <c r="W60" s="170"/>
      <c r="X60" s="170"/>
      <c r="Y60" s="170"/>
      <c r="Z60" s="170"/>
      <c r="AA60" s="171"/>
      <c r="AB60" s="182"/>
      <c r="AC60" s="170"/>
      <c r="AD60" s="170"/>
      <c r="AE60" s="170"/>
      <c r="AF60" s="170"/>
      <c r="AG60" s="171"/>
      <c r="AH60" s="182"/>
      <c r="AI60" s="170"/>
      <c r="AJ60" s="170"/>
      <c r="AK60" s="170"/>
      <c r="AL60" s="170"/>
      <c r="AM60" s="17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248"/>
      <c r="K61" s="249"/>
      <c r="L61" s="249"/>
      <c r="M61" s="249"/>
      <c r="N61" s="249"/>
      <c r="O61" s="252"/>
      <c r="P61" s="248"/>
      <c r="Q61" s="249"/>
      <c r="R61" s="249"/>
      <c r="S61" s="249"/>
      <c r="T61" s="249"/>
      <c r="U61" s="252"/>
      <c r="V61" s="248"/>
      <c r="W61" s="249"/>
      <c r="X61" s="249"/>
      <c r="Y61" s="249"/>
      <c r="Z61" s="249"/>
      <c r="AA61" s="252"/>
      <c r="AB61" s="248"/>
      <c r="AC61" s="249"/>
      <c r="AD61" s="249"/>
      <c r="AE61" s="249"/>
      <c r="AF61" s="249"/>
      <c r="AG61" s="252"/>
      <c r="AH61" s="248"/>
      <c r="AI61" s="249"/>
      <c r="AJ61" s="249"/>
      <c r="AK61" s="249"/>
      <c r="AL61" s="249"/>
      <c r="AM61" s="252"/>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1"/>
      <c r="AV63" s="1"/>
      <c r="AW63" s="1"/>
      <c r="AX63" s="1"/>
      <c r="AY63" s="1"/>
      <c r="AZ63" s="1"/>
      <c r="BA63" s="1"/>
      <c r="BB63" s="1"/>
      <c r="BC63" s="1"/>
      <c r="BD63" s="1"/>
      <c r="BE63" s="1"/>
      <c r="BF63" s="1"/>
      <c r="BG63" s="1"/>
      <c r="BH63" s="1"/>
    </row>
    <row r="64" spans="1:61" ht="15" customHeight="1" x14ac:dyDescent="0.25">
      <c r="A64" s="1"/>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
    <row r="250" spans="1:60" ht="15.75" customHeight="1" x14ac:dyDescent="0.2"/>
    <row r="251" spans="1:60" ht="15.75" customHeight="1" x14ac:dyDescent="0.2"/>
    <row r="252" spans="1:60" ht="15.75" customHeight="1" x14ac:dyDescent="0.2"/>
    <row r="253" spans="1:60" ht="15.75" customHeight="1" x14ac:dyDescent="0.2"/>
    <row r="254" spans="1:60" ht="15.75" customHeight="1" x14ac:dyDescent="0.2"/>
    <row r="255" spans="1:60" ht="15.75" customHeight="1" x14ac:dyDescent="0.2"/>
    <row r="256" spans="1:60"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AO16:AT25"/>
    <mergeCell ref="AO26:AT35"/>
    <mergeCell ref="AO6:AT15"/>
    <mergeCell ref="AO36:AT45"/>
    <mergeCell ref="E46:I55"/>
    <mergeCell ref="J56:O61"/>
    <mergeCell ref="P56:U61"/>
    <mergeCell ref="V56:AA61"/>
    <mergeCell ref="AB56:AG61"/>
    <mergeCell ref="AH56:AM61"/>
    <mergeCell ref="B2:I4"/>
    <mergeCell ref="J2:AM4"/>
    <mergeCell ref="B6:D55"/>
    <mergeCell ref="E6:I15"/>
    <mergeCell ref="E16:I25"/>
    <mergeCell ref="E26:I35"/>
    <mergeCell ref="E36:I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1000"/>
  <sheetViews>
    <sheetView workbookViewId="0"/>
  </sheetViews>
  <sheetFormatPr baseColWidth="10" defaultColWidth="12.625" defaultRowHeight="15" customHeight="1" x14ac:dyDescent="0.2"/>
  <cols>
    <col min="1" max="1" width="9.375" customWidth="1"/>
    <col min="2" max="2" width="21.125" customWidth="1"/>
    <col min="3" max="3" width="61.375" customWidth="1"/>
    <col min="4" max="4" width="26.125" customWidth="1"/>
    <col min="5" max="26" width="9.375" customWidth="1"/>
  </cols>
  <sheetData>
    <row r="1" spans="1:24" ht="23.25" x14ac:dyDescent="0.25">
      <c r="A1" s="1"/>
      <c r="B1" s="281" t="s">
        <v>108</v>
      </c>
      <c r="C1" s="170"/>
      <c r="D1" s="170"/>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67"/>
      <c r="C3" s="68" t="s">
        <v>109</v>
      </c>
      <c r="D3" s="68" t="s">
        <v>92</v>
      </c>
      <c r="E3" s="1"/>
      <c r="F3" s="1"/>
      <c r="G3" s="1"/>
      <c r="H3" s="1"/>
      <c r="I3" s="1"/>
      <c r="J3" s="1"/>
      <c r="K3" s="1"/>
      <c r="L3" s="1"/>
      <c r="M3" s="1"/>
      <c r="N3" s="1"/>
      <c r="O3" s="1"/>
      <c r="P3" s="1"/>
      <c r="Q3" s="1"/>
      <c r="R3" s="1"/>
      <c r="S3" s="1"/>
      <c r="T3" s="1"/>
      <c r="U3" s="1"/>
      <c r="V3" s="1"/>
      <c r="W3" s="1"/>
      <c r="X3" s="1"/>
    </row>
    <row r="4" spans="1:24" ht="51" x14ac:dyDescent="0.25">
      <c r="A4" s="1"/>
      <c r="B4" s="69" t="s">
        <v>110</v>
      </c>
      <c r="C4" s="70" t="s">
        <v>111</v>
      </c>
      <c r="D4" s="71">
        <v>0.2</v>
      </c>
      <c r="E4" s="1"/>
      <c r="F4" s="1"/>
      <c r="G4" s="1"/>
      <c r="H4" s="1"/>
      <c r="I4" s="1"/>
      <c r="J4" s="1"/>
      <c r="K4" s="1"/>
      <c r="L4" s="1"/>
      <c r="M4" s="1"/>
      <c r="N4" s="1"/>
      <c r="O4" s="1"/>
      <c r="P4" s="1"/>
      <c r="Q4" s="1"/>
      <c r="R4" s="1"/>
      <c r="S4" s="1"/>
      <c r="T4" s="1"/>
      <c r="U4" s="1"/>
      <c r="V4" s="1"/>
      <c r="W4" s="1"/>
      <c r="X4" s="1"/>
    </row>
    <row r="5" spans="1:24" ht="51" x14ac:dyDescent="0.25">
      <c r="A5" s="1"/>
      <c r="B5" s="72" t="s">
        <v>112</v>
      </c>
      <c r="C5" s="73" t="s">
        <v>113</v>
      </c>
      <c r="D5" s="74">
        <v>0.4</v>
      </c>
      <c r="E5" s="1"/>
      <c r="F5" s="1"/>
      <c r="G5" s="1"/>
      <c r="H5" s="1"/>
      <c r="I5" s="1"/>
      <c r="J5" s="1"/>
      <c r="K5" s="1"/>
      <c r="L5" s="1"/>
      <c r="M5" s="1"/>
      <c r="N5" s="1"/>
      <c r="O5" s="1"/>
      <c r="P5" s="1"/>
      <c r="Q5" s="1"/>
      <c r="R5" s="1"/>
      <c r="S5" s="1"/>
      <c r="T5" s="1"/>
      <c r="U5" s="1"/>
      <c r="V5" s="1"/>
      <c r="W5" s="1"/>
      <c r="X5" s="1"/>
    </row>
    <row r="6" spans="1:24" ht="51" x14ac:dyDescent="0.25">
      <c r="A6" s="1"/>
      <c r="B6" s="75" t="s">
        <v>114</v>
      </c>
      <c r="C6" s="73" t="s">
        <v>115</v>
      </c>
      <c r="D6" s="74">
        <v>0.6</v>
      </c>
      <c r="E6" s="1"/>
      <c r="F6" s="1"/>
      <c r="G6" s="1"/>
      <c r="H6" s="1"/>
      <c r="I6" s="1"/>
      <c r="J6" s="1"/>
      <c r="K6" s="1"/>
      <c r="L6" s="1"/>
      <c r="M6" s="1"/>
      <c r="N6" s="1"/>
      <c r="O6" s="1"/>
      <c r="P6" s="1"/>
      <c r="Q6" s="1"/>
      <c r="R6" s="1"/>
      <c r="S6" s="1"/>
      <c r="T6" s="1"/>
      <c r="U6" s="1"/>
      <c r="V6" s="1"/>
      <c r="W6" s="1"/>
      <c r="X6" s="1"/>
    </row>
    <row r="7" spans="1:24" ht="76.5" x14ac:dyDescent="0.25">
      <c r="A7" s="1"/>
      <c r="B7" s="76" t="s">
        <v>116</v>
      </c>
      <c r="C7" s="73" t="s">
        <v>117</v>
      </c>
      <c r="D7" s="74">
        <v>0.8</v>
      </c>
      <c r="E7" s="1"/>
      <c r="F7" s="1"/>
      <c r="G7" s="1"/>
      <c r="H7" s="1"/>
      <c r="I7" s="1"/>
      <c r="J7" s="1"/>
      <c r="K7" s="1"/>
      <c r="L7" s="1"/>
      <c r="M7" s="1"/>
      <c r="N7" s="1"/>
      <c r="O7" s="1"/>
      <c r="P7" s="1"/>
      <c r="Q7" s="1"/>
      <c r="R7" s="1"/>
      <c r="S7" s="1"/>
      <c r="T7" s="1"/>
      <c r="U7" s="1"/>
      <c r="V7" s="1"/>
      <c r="W7" s="1"/>
      <c r="X7" s="1"/>
    </row>
    <row r="8" spans="1:24" ht="51" x14ac:dyDescent="0.25">
      <c r="A8" s="1"/>
      <c r="B8" s="77" t="s">
        <v>118</v>
      </c>
      <c r="C8" s="73" t="s">
        <v>119</v>
      </c>
      <c r="D8" s="74">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78"/>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
    <row r="57" spans="1:1" ht="15.75" customHeight="1" x14ac:dyDescent="0.2"/>
    <row r="58" spans="1:1" ht="15.75" customHeight="1" x14ac:dyDescent="0.2"/>
    <row r="59" spans="1:1" ht="15.75" customHeight="1" x14ac:dyDescent="0.2"/>
    <row r="60" spans="1:1" ht="15.75" customHeight="1" x14ac:dyDescent="0.2"/>
    <row r="61" spans="1:1" ht="15.75" customHeight="1" x14ac:dyDescent="0.2"/>
    <row r="62" spans="1:1" ht="15.75" customHeight="1" x14ac:dyDescent="0.2"/>
    <row r="63" spans="1:1" ht="15.75" customHeight="1" x14ac:dyDescent="0.2"/>
    <row r="64" spans="1:1"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U1000"/>
  <sheetViews>
    <sheetView workbookViewId="0"/>
  </sheetViews>
  <sheetFormatPr baseColWidth="10" defaultColWidth="12.625" defaultRowHeight="15" customHeight="1" x14ac:dyDescent="0.2"/>
  <cols>
    <col min="1" max="1" width="9.375" customWidth="1"/>
    <col min="2" max="2" width="35.375" customWidth="1"/>
    <col min="3" max="3" width="65.5" customWidth="1"/>
    <col min="4" max="4" width="118.125" customWidth="1"/>
    <col min="5" max="5" width="126.625" customWidth="1"/>
    <col min="6" max="26" width="9.375" customWidth="1"/>
  </cols>
  <sheetData>
    <row r="1" spans="1:21" ht="33.75" x14ac:dyDescent="0.25">
      <c r="A1" s="1"/>
      <c r="B1" s="282" t="s">
        <v>120</v>
      </c>
      <c r="C1" s="170"/>
      <c r="D1" s="170"/>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79"/>
      <c r="C3" s="80" t="s">
        <v>121</v>
      </c>
      <c r="D3" s="80" t="s">
        <v>122</v>
      </c>
      <c r="E3" s="1"/>
      <c r="F3" s="1"/>
      <c r="G3" s="1"/>
      <c r="H3" s="1"/>
      <c r="I3" s="1"/>
      <c r="J3" s="1"/>
      <c r="K3" s="1"/>
      <c r="L3" s="1"/>
      <c r="M3" s="1"/>
      <c r="N3" s="1"/>
      <c r="O3" s="1"/>
      <c r="P3" s="1"/>
      <c r="Q3" s="1"/>
      <c r="R3" s="1"/>
      <c r="S3" s="1"/>
      <c r="T3" s="1"/>
      <c r="U3" s="1"/>
    </row>
    <row r="4" spans="1:21" ht="33.75" x14ac:dyDescent="0.25">
      <c r="A4" s="81" t="s">
        <v>123</v>
      </c>
      <c r="B4" s="82" t="s">
        <v>124</v>
      </c>
      <c r="C4" s="83" t="s">
        <v>125</v>
      </c>
      <c r="D4" s="84" t="s">
        <v>126</v>
      </c>
      <c r="E4" s="1"/>
      <c r="F4" s="1"/>
      <c r="G4" s="1"/>
      <c r="H4" s="1"/>
      <c r="I4" s="1"/>
      <c r="J4" s="1"/>
      <c r="K4" s="1"/>
      <c r="L4" s="1"/>
      <c r="M4" s="1"/>
      <c r="N4" s="1"/>
      <c r="O4" s="1"/>
      <c r="P4" s="1"/>
      <c r="Q4" s="1"/>
      <c r="R4" s="1"/>
      <c r="S4" s="1"/>
      <c r="T4" s="1"/>
      <c r="U4" s="1"/>
    </row>
    <row r="5" spans="1:21" ht="67.5" x14ac:dyDescent="0.25">
      <c r="A5" s="81" t="s">
        <v>127</v>
      </c>
      <c r="B5" s="85" t="s">
        <v>128</v>
      </c>
      <c r="C5" s="86" t="s">
        <v>129</v>
      </c>
      <c r="D5" s="87" t="s">
        <v>130</v>
      </c>
      <c r="E5" s="1"/>
      <c r="F5" s="1"/>
      <c r="G5" s="1"/>
      <c r="H5" s="1"/>
      <c r="I5" s="1"/>
      <c r="J5" s="1"/>
      <c r="K5" s="1"/>
      <c r="L5" s="1"/>
      <c r="M5" s="1"/>
      <c r="N5" s="1"/>
      <c r="O5" s="1"/>
      <c r="P5" s="1"/>
      <c r="Q5" s="1"/>
      <c r="R5" s="1"/>
      <c r="S5" s="1"/>
      <c r="T5" s="1"/>
      <c r="U5" s="1"/>
    </row>
    <row r="6" spans="1:21" ht="67.5" x14ac:dyDescent="0.25">
      <c r="A6" s="81" t="s">
        <v>98</v>
      </c>
      <c r="B6" s="88" t="s">
        <v>131</v>
      </c>
      <c r="C6" s="86" t="s">
        <v>132</v>
      </c>
      <c r="D6" s="87" t="s">
        <v>133</v>
      </c>
      <c r="E6" s="1"/>
      <c r="F6" s="1"/>
      <c r="G6" s="1"/>
      <c r="H6" s="1"/>
      <c r="I6" s="1"/>
      <c r="J6" s="1"/>
      <c r="K6" s="1"/>
      <c r="L6" s="1"/>
      <c r="M6" s="1"/>
      <c r="N6" s="1"/>
      <c r="O6" s="1"/>
      <c r="P6" s="1"/>
      <c r="Q6" s="1"/>
      <c r="R6" s="1"/>
      <c r="S6" s="1"/>
      <c r="T6" s="1"/>
      <c r="U6" s="1"/>
    </row>
    <row r="7" spans="1:21" ht="101.25" x14ac:dyDescent="0.25">
      <c r="A7" s="81" t="s">
        <v>134</v>
      </c>
      <c r="B7" s="89" t="s">
        <v>135</v>
      </c>
      <c r="C7" s="86" t="s">
        <v>136</v>
      </c>
      <c r="D7" s="87" t="s">
        <v>137</v>
      </c>
      <c r="E7" s="1"/>
      <c r="F7" s="1"/>
      <c r="G7" s="1"/>
      <c r="H7" s="1"/>
      <c r="I7" s="1"/>
      <c r="J7" s="1"/>
      <c r="K7" s="1"/>
      <c r="L7" s="1"/>
      <c r="M7" s="1"/>
      <c r="N7" s="1"/>
      <c r="O7" s="1"/>
      <c r="P7" s="1"/>
      <c r="Q7" s="1"/>
      <c r="R7" s="1"/>
      <c r="S7" s="1"/>
      <c r="T7" s="1"/>
      <c r="U7" s="1"/>
    </row>
    <row r="8" spans="1:21" ht="67.5" x14ac:dyDescent="0.25">
      <c r="A8" s="81" t="s">
        <v>138</v>
      </c>
      <c r="B8" s="90" t="s">
        <v>139</v>
      </c>
      <c r="C8" s="86" t="s">
        <v>140</v>
      </c>
      <c r="D8" s="87" t="s">
        <v>141</v>
      </c>
      <c r="E8" s="1"/>
      <c r="F8" s="1"/>
      <c r="G8" s="1"/>
      <c r="H8" s="1"/>
      <c r="I8" s="1"/>
      <c r="J8" s="1"/>
      <c r="K8" s="1"/>
      <c r="L8" s="1"/>
      <c r="M8" s="1"/>
      <c r="N8" s="1"/>
      <c r="O8" s="1"/>
      <c r="P8" s="1"/>
      <c r="Q8" s="1"/>
      <c r="R8" s="1"/>
      <c r="S8" s="1"/>
      <c r="T8" s="1"/>
      <c r="U8" s="1"/>
    </row>
    <row r="9" spans="1:21" ht="20.25" x14ac:dyDescent="0.25">
      <c r="A9" s="81"/>
      <c r="B9" s="81"/>
      <c r="C9" s="91"/>
      <c r="D9" s="91"/>
      <c r="E9" s="1"/>
      <c r="F9" s="1"/>
      <c r="G9" s="1"/>
      <c r="H9" s="1"/>
      <c r="I9" s="1"/>
      <c r="J9" s="1"/>
      <c r="K9" s="1"/>
      <c r="L9" s="1"/>
      <c r="M9" s="1"/>
      <c r="N9" s="1"/>
      <c r="O9" s="1"/>
      <c r="P9" s="1"/>
      <c r="Q9" s="1"/>
      <c r="R9" s="1"/>
      <c r="S9" s="1"/>
      <c r="T9" s="1"/>
      <c r="U9" s="1"/>
    </row>
    <row r="10" spans="1:21" ht="16.5" x14ac:dyDescent="0.25">
      <c r="A10" s="81"/>
      <c r="B10" s="92"/>
      <c r="C10" s="92"/>
      <c r="D10" s="92"/>
      <c r="E10" s="1"/>
      <c r="F10" s="1"/>
      <c r="G10" s="1"/>
      <c r="H10" s="1"/>
      <c r="I10" s="1"/>
      <c r="J10" s="1"/>
      <c r="K10" s="1"/>
      <c r="L10" s="1"/>
      <c r="M10" s="1"/>
      <c r="N10" s="1"/>
      <c r="O10" s="1"/>
      <c r="P10" s="1"/>
      <c r="Q10" s="1"/>
      <c r="R10" s="1"/>
      <c r="S10" s="1"/>
      <c r="T10" s="1"/>
      <c r="U10" s="1"/>
    </row>
    <row r="11" spans="1:21" x14ac:dyDescent="0.25">
      <c r="A11" s="81"/>
      <c r="B11" s="81" t="s">
        <v>142</v>
      </c>
      <c r="C11" s="81" t="s">
        <v>143</v>
      </c>
      <c r="D11" s="81" t="s">
        <v>144</v>
      </c>
      <c r="E11" s="1"/>
      <c r="F11" s="1"/>
      <c r="G11" s="1"/>
      <c r="H11" s="1"/>
      <c r="I11" s="1"/>
      <c r="J11" s="1"/>
      <c r="K11" s="1"/>
      <c r="L11" s="1"/>
      <c r="M11" s="1"/>
      <c r="N11" s="1"/>
      <c r="O11" s="1"/>
      <c r="P11" s="1"/>
      <c r="Q11" s="1"/>
      <c r="R11" s="1"/>
      <c r="S11" s="1"/>
      <c r="T11" s="1"/>
      <c r="U11" s="1"/>
    </row>
    <row r="12" spans="1:21" x14ac:dyDescent="0.25">
      <c r="A12" s="81"/>
      <c r="B12" s="81" t="s">
        <v>145</v>
      </c>
      <c r="C12" s="81" t="s">
        <v>146</v>
      </c>
      <c r="D12" s="81" t="s">
        <v>147</v>
      </c>
      <c r="E12" s="1"/>
      <c r="F12" s="1"/>
      <c r="G12" s="1"/>
      <c r="H12" s="1"/>
      <c r="I12" s="1"/>
      <c r="J12" s="1"/>
      <c r="K12" s="1"/>
      <c r="L12" s="1"/>
      <c r="M12" s="1"/>
      <c r="N12" s="1"/>
      <c r="O12" s="1"/>
      <c r="P12" s="1"/>
      <c r="Q12" s="1"/>
      <c r="R12" s="1"/>
      <c r="S12" s="1"/>
      <c r="T12" s="1"/>
      <c r="U12" s="1"/>
    </row>
    <row r="13" spans="1:21" x14ac:dyDescent="0.25">
      <c r="A13" s="81"/>
      <c r="B13" s="81"/>
      <c r="C13" s="81" t="s">
        <v>148</v>
      </c>
      <c r="D13" s="81" t="s">
        <v>149</v>
      </c>
      <c r="E13" s="1"/>
      <c r="F13" s="1"/>
      <c r="G13" s="1"/>
      <c r="H13" s="1"/>
      <c r="I13" s="1"/>
      <c r="J13" s="1"/>
      <c r="K13" s="1"/>
      <c r="L13" s="1"/>
      <c r="M13" s="1"/>
      <c r="N13" s="1"/>
      <c r="O13" s="1"/>
      <c r="P13" s="1"/>
      <c r="Q13" s="1"/>
      <c r="R13" s="1"/>
      <c r="S13" s="1"/>
      <c r="T13" s="1"/>
      <c r="U13" s="1"/>
    </row>
    <row r="14" spans="1:21" x14ac:dyDescent="0.25">
      <c r="A14" s="81"/>
      <c r="B14" s="81"/>
      <c r="C14" s="81" t="s">
        <v>150</v>
      </c>
      <c r="D14" s="81" t="s">
        <v>151</v>
      </c>
      <c r="E14" s="1"/>
      <c r="F14" s="1"/>
      <c r="G14" s="1"/>
      <c r="H14" s="1"/>
      <c r="I14" s="1"/>
      <c r="J14" s="1"/>
      <c r="K14" s="1"/>
      <c r="L14" s="1"/>
      <c r="M14" s="1"/>
      <c r="N14" s="1"/>
      <c r="O14" s="1"/>
      <c r="P14" s="1"/>
      <c r="Q14" s="1"/>
      <c r="R14" s="1"/>
      <c r="S14" s="1"/>
      <c r="T14" s="1"/>
      <c r="U14" s="1"/>
    </row>
    <row r="15" spans="1:21" x14ac:dyDescent="0.25">
      <c r="A15" s="81"/>
      <c r="B15" s="81"/>
      <c r="C15" s="81" t="s">
        <v>152</v>
      </c>
      <c r="D15" s="81" t="s">
        <v>153</v>
      </c>
      <c r="E15" s="1"/>
      <c r="F15" s="1"/>
      <c r="G15" s="1"/>
      <c r="H15" s="1"/>
      <c r="I15" s="1"/>
      <c r="J15" s="1"/>
      <c r="K15" s="1"/>
      <c r="L15" s="1"/>
      <c r="M15" s="1"/>
      <c r="N15" s="1"/>
      <c r="O15" s="1"/>
      <c r="P15" s="1"/>
      <c r="Q15" s="1"/>
      <c r="R15" s="1"/>
      <c r="S15" s="1"/>
      <c r="T15" s="1"/>
      <c r="U15" s="1"/>
    </row>
    <row r="16" spans="1:21" x14ac:dyDescent="0.25">
      <c r="A16" s="81"/>
      <c r="B16" s="81"/>
      <c r="C16" s="81"/>
      <c r="D16" s="81"/>
      <c r="E16" s="1"/>
      <c r="F16" s="1"/>
      <c r="G16" s="1"/>
      <c r="H16" s="1"/>
      <c r="I16" s="1"/>
      <c r="J16" s="1"/>
      <c r="K16" s="1"/>
      <c r="L16" s="1"/>
      <c r="M16" s="1"/>
      <c r="N16" s="1"/>
      <c r="O16" s="1"/>
    </row>
    <row r="17" spans="1:15" x14ac:dyDescent="0.25">
      <c r="A17" s="81"/>
      <c r="B17" s="81"/>
      <c r="C17" s="81"/>
      <c r="D17" s="81"/>
      <c r="E17" s="1"/>
      <c r="F17" s="1"/>
      <c r="G17" s="1"/>
      <c r="H17" s="1"/>
      <c r="I17" s="1"/>
      <c r="J17" s="1"/>
      <c r="K17" s="1"/>
      <c r="L17" s="1"/>
      <c r="M17" s="1"/>
      <c r="N17" s="1"/>
      <c r="O17" s="1"/>
    </row>
    <row r="18" spans="1:15" x14ac:dyDescent="0.25">
      <c r="A18" s="81"/>
      <c r="B18" s="1"/>
      <c r="C18" s="1"/>
      <c r="D18" s="1"/>
      <c r="E18" s="1"/>
      <c r="F18" s="1"/>
      <c r="G18" s="1"/>
      <c r="H18" s="1"/>
      <c r="I18" s="1"/>
      <c r="J18" s="1"/>
      <c r="K18" s="1"/>
      <c r="L18" s="1"/>
      <c r="M18" s="1"/>
      <c r="N18" s="1"/>
      <c r="O18" s="1"/>
    </row>
    <row r="19" spans="1:15" x14ac:dyDescent="0.25">
      <c r="A19" s="81"/>
      <c r="B19" s="1"/>
      <c r="C19" s="1"/>
      <c r="D19" s="1"/>
      <c r="E19" s="1"/>
      <c r="F19" s="1"/>
      <c r="G19" s="1"/>
      <c r="H19" s="1"/>
      <c r="I19" s="1"/>
      <c r="J19" s="1"/>
      <c r="K19" s="1"/>
      <c r="L19" s="1"/>
      <c r="M19" s="1"/>
      <c r="N19" s="1"/>
      <c r="O19" s="1"/>
    </row>
    <row r="20" spans="1:15" x14ac:dyDescent="0.25">
      <c r="A20" s="81"/>
      <c r="B20" s="1"/>
      <c r="C20" s="1"/>
      <c r="D20" s="1"/>
      <c r="E20" s="1"/>
      <c r="F20" s="1"/>
      <c r="G20" s="1"/>
      <c r="H20" s="1"/>
      <c r="I20" s="1"/>
      <c r="J20" s="1"/>
      <c r="K20" s="1"/>
      <c r="L20" s="1"/>
      <c r="M20" s="1"/>
      <c r="N20" s="1"/>
      <c r="O20" s="1"/>
    </row>
    <row r="21" spans="1:15" ht="15.75" customHeight="1" x14ac:dyDescent="0.25">
      <c r="A21" s="81"/>
      <c r="B21" s="1"/>
      <c r="C21" s="1"/>
      <c r="D21" s="1"/>
      <c r="E21" s="1"/>
      <c r="F21" s="1"/>
      <c r="G21" s="1"/>
      <c r="H21" s="1"/>
      <c r="I21" s="1"/>
      <c r="J21" s="1"/>
      <c r="K21" s="1"/>
      <c r="L21" s="1"/>
      <c r="M21" s="1"/>
      <c r="N21" s="1"/>
      <c r="O21" s="1"/>
    </row>
    <row r="22" spans="1:15" ht="15.75" customHeight="1" x14ac:dyDescent="0.25">
      <c r="A22" s="81"/>
      <c r="B22" s="81"/>
      <c r="C22" s="91"/>
      <c r="D22" s="91"/>
      <c r="E22" s="1"/>
      <c r="F22" s="1"/>
      <c r="G22" s="1"/>
      <c r="H22" s="1"/>
      <c r="I22" s="1"/>
      <c r="J22" s="1"/>
      <c r="K22" s="1"/>
      <c r="L22" s="1"/>
      <c r="M22" s="1"/>
      <c r="N22" s="1"/>
      <c r="O22" s="1"/>
    </row>
    <row r="23" spans="1:15" ht="15.75" customHeight="1" x14ac:dyDescent="0.25">
      <c r="A23" s="81"/>
      <c r="B23" s="81"/>
      <c r="C23" s="91"/>
      <c r="D23" s="91"/>
      <c r="E23" s="1"/>
      <c r="F23" s="1"/>
      <c r="G23" s="1"/>
      <c r="H23" s="1"/>
      <c r="I23" s="1"/>
      <c r="J23" s="1"/>
      <c r="K23" s="1"/>
      <c r="L23" s="1"/>
      <c r="M23" s="1"/>
      <c r="N23" s="1"/>
      <c r="O23" s="1"/>
    </row>
    <row r="24" spans="1:15" ht="15.75" customHeight="1" x14ac:dyDescent="0.25">
      <c r="A24" s="81"/>
      <c r="B24" s="81"/>
      <c r="C24" s="91"/>
      <c r="D24" s="91"/>
      <c r="E24" s="1"/>
      <c r="F24" s="1"/>
      <c r="G24" s="1"/>
      <c r="H24" s="1"/>
      <c r="I24" s="1"/>
      <c r="J24" s="1"/>
      <c r="K24" s="1"/>
      <c r="L24" s="1"/>
      <c r="M24" s="1"/>
      <c r="N24" s="1"/>
      <c r="O24" s="1"/>
    </row>
    <row r="25" spans="1:15" ht="15.75" customHeight="1" x14ac:dyDescent="0.25">
      <c r="A25" s="81"/>
      <c r="B25" s="81"/>
      <c r="C25" s="91"/>
      <c r="D25" s="91"/>
      <c r="E25" s="1"/>
      <c r="F25" s="1"/>
      <c r="G25" s="1"/>
      <c r="H25" s="1"/>
      <c r="I25" s="1"/>
      <c r="J25" s="1"/>
      <c r="K25" s="1"/>
      <c r="L25" s="1"/>
      <c r="M25" s="1"/>
      <c r="N25" s="1"/>
      <c r="O25" s="1"/>
    </row>
    <row r="26" spans="1:15" ht="15.75" customHeight="1" x14ac:dyDescent="0.25">
      <c r="A26" s="81"/>
      <c r="B26" s="81"/>
      <c r="C26" s="91"/>
      <c r="D26" s="91"/>
      <c r="E26" s="1"/>
      <c r="F26" s="1"/>
      <c r="G26" s="1"/>
      <c r="H26" s="1"/>
      <c r="I26" s="1"/>
      <c r="J26" s="1"/>
      <c r="K26" s="1"/>
      <c r="L26" s="1"/>
      <c r="M26" s="1"/>
      <c r="N26" s="1"/>
      <c r="O26" s="1"/>
    </row>
    <row r="27" spans="1:15" ht="15.75" customHeight="1" x14ac:dyDescent="0.25">
      <c r="A27" s="81"/>
      <c r="B27" s="81"/>
      <c r="C27" s="91"/>
      <c r="D27" s="91"/>
      <c r="E27" s="1"/>
      <c r="F27" s="1"/>
      <c r="G27" s="1"/>
      <c r="H27" s="1"/>
      <c r="I27" s="1"/>
      <c r="J27" s="1"/>
      <c r="K27" s="1"/>
      <c r="L27" s="1"/>
      <c r="M27" s="1"/>
      <c r="N27" s="1"/>
      <c r="O27" s="1"/>
    </row>
    <row r="28" spans="1:15" ht="15.75" customHeight="1" x14ac:dyDescent="0.25">
      <c r="A28" s="81"/>
      <c r="B28" s="81"/>
      <c r="C28" s="91"/>
      <c r="D28" s="91"/>
      <c r="E28" s="1"/>
      <c r="F28" s="1"/>
      <c r="G28" s="1"/>
      <c r="H28" s="1"/>
      <c r="I28" s="1"/>
      <c r="J28" s="1"/>
      <c r="K28" s="1"/>
      <c r="L28" s="1"/>
      <c r="M28" s="1"/>
      <c r="N28" s="1"/>
      <c r="O28" s="1"/>
    </row>
    <row r="29" spans="1:15" ht="15.75" customHeight="1" x14ac:dyDescent="0.25">
      <c r="A29" s="81"/>
      <c r="B29" s="81"/>
      <c r="C29" s="91"/>
      <c r="D29" s="91"/>
      <c r="E29" s="1"/>
      <c r="F29" s="1"/>
      <c r="G29" s="1"/>
      <c r="H29" s="1"/>
      <c r="I29" s="1"/>
      <c r="J29" s="1"/>
      <c r="K29" s="1"/>
      <c r="L29" s="1"/>
      <c r="M29" s="1"/>
      <c r="N29" s="1"/>
      <c r="O29" s="1"/>
    </row>
    <row r="30" spans="1:15" ht="15.75" customHeight="1" x14ac:dyDescent="0.25">
      <c r="A30" s="81"/>
      <c r="B30" s="81"/>
      <c r="C30" s="91"/>
      <c r="D30" s="91"/>
      <c r="E30" s="1"/>
      <c r="F30" s="1"/>
      <c r="G30" s="1"/>
      <c r="H30" s="1"/>
      <c r="I30" s="1"/>
      <c r="J30" s="1"/>
      <c r="K30" s="1"/>
      <c r="L30" s="1"/>
      <c r="M30" s="1"/>
      <c r="N30" s="1"/>
      <c r="O30" s="1"/>
    </row>
    <row r="31" spans="1:15" ht="15.75" customHeight="1" x14ac:dyDescent="0.25">
      <c r="A31" s="81"/>
      <c r="B31" s="81"/>
      <c r="C31" s="91"/>
      <c r="D31" s="91"/>
      <c r="E31" s="1"/>
      <c r="F31" s="1"/>
      <c r="G31" s="1"/>
      <c r="H31" s="1"/>
      <c r="I31" s="1"/>
      <c r="J31" s="1"/>
      <c r="K31" s="1"/>
      <c r="L31" s="1"/>
      <c r="M31" s="1"/>
      <c r="N31" s="1"/>
      <c r="O31" s="1"/>
    </row>
    <row r="32" spans="1:15" ht="15.75" customHeight="1" x14ac:dyDescent="0.25">
      <c r="A32" s="81"/>
      <c r="B32" s="81"/>
      <c r="C32" s="91"/>
      <c r="D32" s="91"/>
      <c r="E32" s="1"/>
      <c r="F32" s="1"/>
      <c r="G32" s="1"/>
      <c r="H32" s="1"/>
      <c r="I32" s="1"/>
      <c r="J32" s="1"/>
      <c r="K32" s="1"/>
      <c r="L32" s="1"/>
      <c r="M32" s="1"/>
      <c r="N32" s="1"/>
      <c r="O32" s="1"/>
    </row>
    <row r="33" spans="1:15" ht="15.75" customHeight="1" x14ac:dyDescent="0.25">
      <c r="A33" s="81"/>
      <c r="B33" s="81"/>
      <c r="C33" s="91"/>
      <c r="D33" s="91"/>
      <c r="E33" s="1"/>
      <c r="F33" s="1"/>
      <c r="G33" s="1"/>
      <c r="H33" s="1"/>
      <c r="I33" s="1"/>
      <c r="J33" s="1"/>
      <c r="K33" s="1"/>
      <c r="L33" s="1"/>
      <c r="M33" s="1"/>
      <c r="N33" s="1"/>
      <c r="O33" s="1"/>
    </row>
    <row r="34" spans="1:15" ht="15.75" customHeight="1" x14ac:dyDescent="0.25">
      <c r="A34" s="81"/>
      <c r="B34" s="81"/>
      <c r="C34" s="91"/>
      <c r="D34" s="91"/>
      <c r="E34" s="1"/>
      <c r="F34" s="1"/>
      <c r="G34" s="1"/>
      <c r="H34" s="1"/>
      <c r="I34" s="1"/>
      <c r="J34" s="1"/>
      <c r="K34" s="1"/>
      <c r="L34" s="1"/>
      <c r="M34" s="1"/>
      <c r="N34" s="1"/>
      <c r="O34" s="1"/>
    </row>
    <row r="35" spans="1:15" ht="15.75" customHeight="1" x14ac:dyDescent="0.25">
      <c r="A35" s="81"/>
      <c r="B35" s="81"/>
      <c r="C35" s="91"/>
      <c r="D35" s="91"/>
      <c r="E35" s="1"/>
      <c r="F35" s="1"/>
      <c r="G35" s="1"/>
      <c r="H35" s="1"/>
      <c r="I35" s="1"/>
      <c r="J35" s="1"/>
      <c r="K35" s="1"/>
      <c r="L35" s="1"/>
      <c r="M35" s="1"/>
      <c r="N35" s="1"/>
      <c r="O35" s="1"/>
    </row>
    <row r="36" spans="1:15" ht="15.75" customHeight="1" x14ac:dyDescent="0.25">
      <c r="A36" s="81"/>
      <c r="B36" s="81"/>
      <c r="C36" s="91"/>
      <c r="D36" s="91"/>
      <c r="E36" s="1"/>
      <c r="F36" s="1"/>
      <c r="G36" s="1"/>
      <c r="H36" s="1"/>
      <c r="I36" s="1"/>
      <c r="J36" s="1"/>
      <c r="K36" s="1"/>
      <c r="L36" s="1"/>
      <c r="M36" s="1"/>
      <c r="N36" s="1"/>
      <c r="O36" s="1"/>
    </row>
    <row r="37" spans="1:15" ht="15.75" customHeight="1" x14ac:dyDescent="0.25">
      <c r="A37" s="81"/>
      <c r="B37" s="81"/>
      <c r="C37" s="91"/>
      <c r="D37" s="91"/>
      <c r="E37" s="1"/>
      <c r="F37" s="1"/>
      <c r="G37" s="1"/>
      <c r="H37" s="1"/>
      <c r="I37" s="1"/>
      <c r="J37" s="1"/>
      <c r="K37" s="1"/>
      <c r="L37" s="1"/>
      <c r="M37" s="1"/>
      <c r="N37" s="1"/>
      <c r="O37" s="1"/>
    </row>
    <row r="38" spans="1:15" ht="15.75" customHeight="1" x14ac:dyDescent="0.25">
      <c r="A38" s="81"/>
      <c r="B38" s="81"/>
      <c r="C38" s="91"/>
      <c r="D38" s="91"/>
      <c r="E38" s="1"/>
      <c r="F38" s="1"/>
      <c r="G38" s="1"/>
      <c r="H38" s="1"/>
      <c r="I38" s="1"/>
      <c r="J38" s="1"/>
      <c r="K38" s="1"/>
      <c r="L38" s="1"/>
      <c r="M38" s="1"/>
      <c r="N38" s="1"/>
      <c r="O38" s="1"/>
    </row>
    <row r="39" spans="1:15" ht="15.75" customHeight="1" x14ac:dyDescent="0.25">
      <c r="A39" s="81"/>
      <c r="B39" s="81"/>
      <c r="C39" s="91"/>
      <c r="D39" s="91"/>
      <c r="E39" s="1"/>
      <c r="F39" s="1"/>
      <c r="G39" s="1"/>
      <c r="H39" s="1"/>
      <c r="I39" s="1"/>
      <c r="J39" s="1"/>
      <c r="K39" s="1"/>
      <c r="L39" s="1"/>
      <c r="M39" s="1"/>
      <c r="N39" s="1"/>
      <c r="O39" s="1"/>
    </row>
    <row r="40" spans="1:15" ht="15.75" customHeight="1" x14ac:dyDescent="0.25">
      <c r="A40" s="81"/>
      <c r="B40" s="81"/>
      <c r="C40" s="91"/>
      <c r="D40" s="91"/>
      <c r="E40" s="1"/>
      <c r="F40" s="1"/>
      <c r="G40" s="1"/>
      <c r="H40" s="1"/>
      <c r="I40" s="1"/>
      <c r="J40" s="1"/>
      <c r="K40" s="1"/>
      <c r="L40" s="1"/>
      <c r="M40" s="1"/>
      <c r="N40" s="1"/>
      <c r="O40" s="1"/>
    </row>
    <row r="41" spans="1:15" ht="15.75" customHeight="1" x14ac:dyDescent="0.25">
      <c r="A41" s="81"/>
      <c r="B41" s="81"/>
      <c r="C41" s="91"/>
      <c r="D41" s="91"/>
      <c r="E41" s="1"/>
      <c r="F41" s="1"/>
      <c r="G41" s="1"/>
      <c r="H41" s="1"/>
      <c r="I41" s="1"/>
      <c r="J41" s="1"/>
      <c r="K41" s="1"/>
      <c r="L41" s="1"/>
      <c r="M41" s="1"/>
      <c r="N41" s="1"/>
      <c r="O41" s="1"/>
    </row>
    <row r="42" spans="1:15" ht="15.75" customHeight="1" x14ac:dyDescent="0.25">
      <c r="A42" s="81"/>
      <c r="B42" s="81"/>
      <c r="C42" s="91"/>
      <c r="D42" s="91"/>
      <c r="E42" s="1"/>
      <c r="F42" s="1"/>
      <c r="G42" s="1"/>
      <c r="H42" s="1"/>
      <c r="I42" s="1"/>
      <c r="J42" s="1"/>
      <c r="K42" s="1"/>
      <c r="L42" s="1"/>
      <c r="M42" s="1"/>
      <c r="N42" s="1"/>
      <c r="O42" s="1"/>
    </row>
    <row r="43" spans="1:15" ht="15.75" customHeight="1" x14ac:dyDescent="0.25">
      <c r="A43" s="81"/>
      <c r="B43" s="81"/>
      <c r="C43" s="91"/>
      <c r="D43" s="91"/>
      <c r="E43" s="1"/>
      <c r="F43" s="1"/>
      <c r="G43" s="1"/>
      <c r="H43" s="1"/>
      <c r="I43" s="1"/>
      <c r="J43" s="1"/>
      <c r="K43" s="1"/>
      <c r="L43" s="1"/>
      <c r="M43" s="1"/>
      <c r="N43" s="1"/>
      <c r="O43" s="1"/>
    </row>
    <row r="44" spans="1:15" ht="15.75" customHeight="1" x14ac:dyDescent="0.25">
      <c r="A44" s="81"/>
      <c r="B44" s="81"/>
      <c r="C44" s="91"/>
      <c r="D44" s="91"/>
      <c r="E44" s="1"/>
      <c r="F44" s="1"/>
      <c r="G44" s="1"/>
      <c r="H44" s="1"/>
      <c r="I44" s="1"/>
      <c r="J44" s="1"/>
      <c r="K44" s="1"/>
      <c r="L44" s="1"/>
      <c r="M44" s="1"/>
      <c r="N44" s="1"/>
      <c r="O44" s="1"/>
    </row>
    <row r="45" spans="1:15" ht="15.75" customHeight="1" x14ac:dyDescent="0.25">
      <c r="A45" s="81"/>
      <c r="B45" s="81"/>
      <c r="C45" s="91"/>
      <c r="D45" s="91"/>
      <c r="E45" s="1"/>
      <c r="F45" s="1"/>
      <c r="G45" s="1"/>
      <c r="H45" s="1"/>
      <c r="I45" s="1"/>
      <c r="J45" s="1"/>
      <c r="K45" s="1"/>
      <c r="L45" s="1"/>
      <c r="M45" s="1"/>
      <c r="N45" s="1"/>
      <c r="O45" s="1"/>
    </row>
    <row r="46" spans="1:15" ht="15.75" customHeight="1" x14ac:dyDescent="0.25">
      <c r="A46" s="81"/>
      <c r="B46" s="81"/>
      <c r="C46" s="91"/>
      <c r="D46" s="91"/>
      <c r="E46" s="1"/>
      <c r="F46" s="1"/>
      <c r="G46" s="1"/>
      <c r="H46" s="1"/>
      <c r="I46" s="1"/>
      <c r="J46" s="1"/>
      <c r="K46" s="1"/>
      <c r="L46" s="1"/>
      <c r="M46" s="1"/>
      <c r="N46" s="1"/>
      <c r="O46" s="1"/>
    </row>
    <row r="47" spans="1:15" ht="15.75" customHeight="1" x14ac:dyDescent="0.25">
      <c r="A47" s="81"/>
      <c r="B47" s="81"/>
      <c r="C47" s="91"/>
      <c r="D47" s="91"/>
      <c r="E47" s="1"/>
      <c r="F47" s="1"/>
      <c r="G47" s="1"/>
      <c r="H47" s="1"/>
      <c r="I47" s="1"/>
      <c r="J47" s="1"/>
      <c r="K47" s="1"/>
      <c r="L47" s="1"/>
      <c r="M47" s="1"/>
      <c r="N47" s="1"/>
      <c r="O47" s="1"/>
    </row>
    <row r="48" spans="1:15" ht="15.75" customHeight="1" x14ac:dyDescent="0.25">
      <c r="A48" s="81"/>
      <c r="B48" s="81"/>
      <c r="C48" s="91"/>
      <c r="D48" s="91"/>
      <c r="E48" s="1"/>
      <c r="F48" s="1"/>
      <c r="G48" s="1"/>
      <c r="H48" s="1"/>
      <c r="I48" s="1"/>
      <c r="J48" s="1"/>
      <c r="K48" s="1"/>
      <c r="L48" s="1"/>
      <c r="M48" s="1"/>
      <c r="N48" s="1"/>
      <c r="O48" s="1"/>
    </row>
    <row r="49" spans="1:15" ht="15.75" customHeight="1" x14ac:dyDescent="0.25">
      <c r="A49" s="81"/>
      <c r="B49" s="81"/>
      <c r="C49" s="91"/>
      <c r="D49" s="91"/>
      <c r="E49" s="1"/>
      <c r="F49" s="1"/>
      <c r="G49" s="1"/>
      <c r="H49" s="1"/>
      <c r="I49" s="1"/>
      <c r="J49" s="1"/>
      <c r="K49" s="1"/>
      <c r="L49" s="1"/>
      <c r="M49" s="1"/>
      <c r="N49" s="1"/>
      <c r="O49" s="1"/>
    </row>
    <row r="50" spans="1:15" ht="15.75" customHeight="1" x14ac:dyDescent="0.25">
      <c r="A50" s="81"/>
      <c r="B50" s="81"/>
      <c r="C50" s="91"/>
      <c r="D50" s="91"/>
      <c r="E50" s="1"/>
      <c r="F50" s="1"/>
      <c r="G50" s="1"/>
      <c r="H50" s="1"/>
      <c r="I50" s="1"/>
      <c r="J50" s="1"/>
      <c r="K50" s="1"/>
      <c r="L50" s="1"/>
      <c r="M50" s="1"/>
      <c r="N50" s="1"/>
      <c r="O50" s="1"/>
    </row>
    <row r="51" spans="1:15" ht="15.75" customHeight="1" x14ac:dyDescent="0.25">
      <c r="A51" s="81"/>
      <c r="B51" s="81"/>
      <c r="C51" s="91"/>
      <c r="D51" s="91"/>
      <c r="E51" s="1"/>
      <c r="F51" s="1"/>
      <c r="G51" s="1"/>
      <c r="H51" s="1"/>
      <c r="I51" s="1"/>
      <c r="J51" s="1"/>
      <c r="K51" s="1"/>
      <c r="L51" s="1"/>
      <c r="M51" s="1"/>
      <c r="N51" s="1"/>
      <c r="O51" s="1"/>
    </row>
    <row r="52" spans="1:15" ht="15.75" customHeight="1" x14ac:dyDescent="0.25">
      <c r="A52" s="81"/>
      <c r="B52" s="93"/>
      <c r="C52" s="94"/>
      <c r="D52" s="94"/>
    </row>
    <row r="53" spans="1:15" ht="15.75" customHeight="1" x14ac:dyDescent="0.25">
      <c r="A53" s="81"/>
      <c r="B53" s="93"/>
      <c r="C53" s="94"/>
      <c r="D53" s="94"/>
    </row>
    <row r="54" spans="1:15" ht="15.75" customHeight="1" x14ac:dyDescent="0.25">
      <c r="A54" s="81"/>
      <c r="B54" s="93"/>
      <c r="C54" s="94"/>
      <c r="D54" s="94"/>
    </row>
    <row r="55" spans="1:15" ht="15.75" customHeight="1" x14ac:dyDescent="0.25">
      <c r="A55" s="81"/>
      <c r="B55" s="93"/>
      <c r="C55" s="94"/>
      <c r="D55" s="94"/>
    </row>
    <row r="56" spans="1:15" ht="15.75" customHeight="1" x14ac:dyDescent="0.25">
      <c r="A56" s="81"/>
      <c r="B56" s="93"/>
      <c r="C56" s="94"/>
      <c r="D56" s="94"/>
    </row>
    <row r="57" spans="1:15" ht="15.75" customHeight="1" x14ac:dyDescent="0.25">
      <c r="A57" s="81"/>
      <c r="B57" s="93"/>
      <c r="C57" s="94"/>
      <c r="D57" s="94"/>
    </row>
    <row r="58" spans="1:15" ht="15.75" customHeight="1" x14ac:dyDescent="0.25">
      <c r="A58" s="81"/>
      <c r="B58" s="93"/>
      <c r="C58" s="94"/>
      <c r="D58" s="94"/>
    </row>
    <row r="59" spans="1:15" ht="15.75" customHeight="1" x14ac:dyDescent="0.25">
      <c r="A59" s="81"/>
      <c r="B59" s="93"/>
      <c r="C59" s="94"/>
      <c r="D59" s="94"/>
    </row>
    <row r="60" spans="1:15" ht="15.75" customHeight="1" x14ac:dyDescent="0.25">
      <c r="A60" s="81"/>
      <c r="B60" s="93"/>
      <c r="C60" s="94"/>
      <c r="D60" s="94"/>
    </row>
    <row r="61" spans="1:15" ht="15.75" customHeight="1" x14ac:dyDescent="0.25">
      <c r="A61" s="81"/>
      <c r="B61" s="93"/>
      <c r="C61" s="94"/>
      <c r="D61" s="94"/>
    </row>
    <row r="62" spans="1:15" ht="15.75" customHeight="1" x14ac:dyDescent="0.25">
      <c r="A62" s="81"/>
      <c r="B62" s="93"/>
      <c r="C62" s="94"/>
      <c r="D62" s="94"/>
    </row>
    <row r="63" spans="1:15" ht="15.75" customHeight="1" x14ac:dyDescent="0.25">
      <c r="A63" s="81"/>
      <c r="B63" s="93"/>
      <c r="C63" s="94"/>
      <c r="D63" s="94"/>
    </row>
    <row r="64" spans="1:15" ht="15.75" customHeight="1" x14ac:dyDescent="0.25">
      <c r="A64" s="81"/>
      <c r="B64" s="93"/>
      <c r="C64" s="94"/>
      <c r="D64" s="94"/>
    </row>
    <row r="65" spans="1:4" ht="15.75" customHeight="1" x14ac:dyDescent="0.25">
      <c r="A65" s="81"/>
      <c r="B65" s="93"/>
      <c r="C65" s="94"/>
      <c r="D65" s="94"/>
    </row>
    <row r="66" spans="1:4" ht="15.75" customHeight="1" x14ac:dyDescent="0.25">
      <c r="A66" s="81"/>
      <c r="B66" s="93"/>
      <c r="C66" s="94"/>
      <c r="D66" s="94"/>
    </row>
    <row r="67" spans="1:4" ht="15.75" customHeight="1" x14ac:dyDescent="0.25">
      <c r="A67" s="81"/>
      <c r="B67" s="93"/>
      <c r="C67" s="94"/>
      <c r="D67" s="94"/>
    </row>
    <row r="68" spans="1:4" ht="15.75" customHeight="1" x14ac:dyDescent="0.25">
      <c r="A68" s="81"/>
      <c r="B68" s="93"/>
      <c r="C68" s="94"/>
      <c r="D68" s="94"/>
    </row>
    <row r="69" spans="1:4" ht="15.75" customHeight="1" x14ac:dyDescent="0.25">
      <c r="A69" s="81"/>
      <c r="B69" s="93"/>
      <c r="C69" s="94"/>
      <c r="D69" s="94"/>
    </row>
    <row r="70" spans="1:4" ht="15.75" customHeight="1" x14ac:dyDescent="0.25">
      <c r="A70" s="81"/>
      <c r="B70" s="93"/>
      <c r="C70" s="94"/>
      <c r="D70" s="94"/>
    </row>
    <row r="71" spans="1:4" ht="15.75" customHeight="1" x14ac:dyDescent="0.25">
      <c r="A71" s="81"/>
      <c r="B71" s="93"/>
      <c r="C71" s="94"/>
      <c r="D71" s="94"/>
    </row>
    <row r="72" spans="1:4" ht="15.75" customHeight="1" x14ac:dyDescent="0.25">
      <c r="A72" s="81"/>
      <c r="B72" s="93"/>
      <c r="C72" s="94"/>
      <c r="D72" s="94"/>
    </row>
    <row r="73" spans="1:4" ht="15.75" customHeight="1" x14ac:dyDescent="0.25">
      <c r="A73" s="81"/>
      <c r="B73" s="93"/>
      <c r="C73" s="94"/>
      <c r="D73" s="94"/>
    </row>
    <row r="74" spans="1:4" ht="15.75" customHeight="1" x14ac:dyDescent="0.25">
      <c r="A74" s="81"/>
      <c r="B74" s="93"/>
      <c r="C74" s="94"/>
      <c r="D74" s="94"/>
    </row>
    <row r="75" spans="1:4" ht="15.75" customHeight="1" x14ac:dyDescent="0.25">
      <c r="A75" s="81"/>
      <c r="B75" s="93"/>
      <c r="C75" s="94"/>
      <c r="D75" s="94"/>
    </row>
    <row r="76" spans="1:4" ht="15.75" customHeight="1" x14ac:dyDescent="0.25">
      <c r="A76" s="81"/>
      <c r="B76" s="93"/>
      <c r="C76" s="94"/>
      <c r="D76" s="94"/>
    </row>
    <row r="77" spans="1:4" ht="15.75" customHeight="1" x14ac:dyDescent="0.25">
      <c r="A77" s="81"/>
      <c r="B77" s="93"/>
      <c r="C77" s="94"/>
      <c r="D77" s="94"/>
    </row>
    <row r="78" spans="1:4" ht="15.75" customHeight="1" x14ac:dyDescent="0.25">
      <c r="A78" s="81"/>
      <c r="B78" s="93"/>
      <c r="C78" s="94"/>
      <c r="D78" s="94"/>
    </row>
    <row r="79" spans="1:4" ht="15.75" customHeight="1" x14ac:dyDescent="0.25">
      <c r="A79" s="81"/>
      <c r="B79" s="93"/>
      <c r="C79" s="94"/>
      <c r="D79" s="94"/>
    </row>
    <row r="80" spans="1:4" ht="15.75" customHeight="1" x14ac:dyDescent="0.25">
      <c r="A80" s="81"/>
      <c r="B80" s="93"/>
      <c r="C80" s="94"/>
      <c r="D80" s="94"/>
    </row>
    <row r="81" spans="1:4" ht="15.75" customHeight="1" x14ac:dyDescent="0.25">
      <c r="A81" s="81"/>
      <c r="B81" s="93"/>
      <c r="C81" s="94"/>
      <c r="D81" s="94"/>
    </row>
    <row r="82" spans="1:4" ht="15.75" customHeight="1" x14ac:dyDescent="0.25">
      <c r="A82" s="81"/>
      <c r="B82" s="93"/>
      <c r="C82" s="94"/>
      <c r="D82" s="94"/>
    </row>
    <row r="83" spans="1:4" ht="15.75" customHeight="1" x14ac:dyDescent="0.25">
      <c r="A83" s="81"/>
      <c r="B83" s="93"/>
      <c r="C83" s="94"/>
      <c r="D83" s="94"/>
    </row>
    <row r="84" spans="1:4" ht="15.75" customHeight="1" x14ac:dyDescent="0.25">
      <c r="A84" s="81"/>
      <c r="B84" s="93"/>
      <c r="C84" s="94"/>
      <c r="D84" s="94"/>
    </row>
    <row r="85" spans="1:4" ht="15.75" customHeight="1" x14ac:dyDescent="0.25">
      <c r="A85" s="81"/>
      <c r="B85" s="93"/>
      <c r="C85" s="94"/>
      <c r="D85" s="94"/>
    </row>
    <row r="86" spans="1:4" ht="15.75" customHeight="1" x14ac:dyDescent="0.25">
      <c r="A86" s="81"/>
      <c r="B86" s="93"/>
      <c r="C86" s="94"/>
      <c r="D86" s="94"/>
    </row>
    <row r="87" spans="1:4" ht="15.75" customHeight="1" x14ac:dyDescent="0.25">
      <c r="A87" s="81"/>
      <c r="B87" s="93"/>
      <c r="C87" s="94"/>
      <c r="D87" s="94"/>
    </row>
    <row r="88" spans="1:4" ht="15.75" customHeight="1" x14ac:dyDescent="0.25">
      <c r="A88" s="81"/>
      <c r="B88" s="93"/>
      <c r="C88" s="94"/>
      <c r="D88" s="94"/>
    </row>
    <row r="89" spans="1:4" ht="15.75" customHeight="1" x14ac:dyDescent="0.25">
      <c r="A89" s="81"/>
      <c r="B89" s="93"/>
      <c r="C89" s="94"/>
      <c r="D89" s="94"/>
    </row>
    <row r="90" spans="1:4" ht="15.75" customHeight="1" x14ac:dyDescent="0.25">
      <c r="A90" s="81"/>
      <c r="B90" s="93"/>
      <c r="C90" s="94"/>
      <c r="D90" s="94"/>
    </row>
    <row r="91" spans="1:4" ht="15.75" customHeight="1" x14ac:dyDescent="0.25">
      <c r="A91" s="81"/>
      <c r="B91" s="93"/>
      <c r="C91" s="94"/>
      <c r="D91" s="94"/>
    </row>
    <row r="92" spans="1:4" ht="15.75" customHeight="1" x14ac:dyDescent="0.25">
      <c r="A92" s="81"/>
      <c r="B92" s="93"/>
      <c r="C92" s="94"/>
      <c r="D92" s="94"/>
    </row>
    <row r="93" spans="1:4" ht="15.75" customHeight="1" x14ac:dyDescent="0.25">
      <c r="A93" s="81"/>
      <c r="B93" s="93"/>
      <c r="C93" s="94"/>
      <c r="D93" s="94"/>
    </row>
    <row r="94" spans="1:4" ht="15.75" customHeight="1" x14ac:dyDescent="0.25">
      <c r="A94" s="81"/>
      <c r="B94" s="93"/>
      <c r="C94" s="94"/>
      <c r="D94" s="94"/>
    </row>
    <row r="95" spans="1:4" ht="15.75" customHeight="1" x14ac:dyDescent="0.25">
      <c r="A95" s="81"/>
      <c r="B95" s="93"/>
      <c r="C95" s="94"/>
      <c r="D95" s="94"/>
    </row>
    <row r="96" spans="1:4" ht="15.75" customHeight="1" x14ac:dyDescent="0.25">
      <c r="A96" s="81"/>
      <c r="B96" s="93"/>
      <c r="C96" s="94"/>
      <c r="D96" s="94"/>
    </row>
    <row r="97" spans="1:4" ht="15.75" customHeight="1" x14ac:dyDescent="0.25">
      <c r="A97" s="81"/>
      <c r="B97" s="93"/>
      <c r="C97" s="94"/>
      <c r="D97" s="94"/>
    </row>
    <row r="98" spans="1:4" ht="15.75" customHeight="1" x14ac:dyDescent="0.25">
      <c r="A98" s="81"/>
      <c r="B98" s="93"/>
      <c r="C98" s="94"/>
      <c r="D98" s="94"/>
    </row>
    <row r="99" spans="1:4" ht="15.75" customHeight="1" x14ac:dyDescent="0.25">
      <c r="A99" s="81"/>
      <c r="B99" s="93"/>
      <c r="C99" s="94"/>
      <c r="D99" s="94"/>
    </row>
    <row r="100" spans="1:4" ht="15.75" customHeight="1" x14ac:dyDescent="0.25">
      <c r="A100" s="81"/>
      <c r="B100" s="93"/>
      <c r="C100" s="94"/>
      <c r="D100" s="94"/>
    </row>
    <row r="101" spans="1:4" ht="15.75" customHeight="1" x14ac:dyDescent="0.25">
      <c r="A101" s="81"/>
      <c r="B101" s="93"/>
      <c r="C101" s="94"/>
      <c r="D101" s="94"/>
    </row>
    <row r="102" spans="1:4" ht="15.75" customHeight="1" x14ac:dyDescent="0.25">
      <c r="A102" s="81"/>
      <c r="B102" s="93"/>
      <c r="C102" s="94"/>
      <c r="D102" s="94"/>
    </row>
    <row r="103" spans="1:4" ht="15.75" customHeight="1" x14ac:dyDescent="0.25">
      <c r="A103" s="81"/>
      <c r="B103" s="93"/>
      <c r="C103" s="94"/>
      <c r="D103" s="94"/>
    </row>
    <row r="104" spans="1:4" ht="15.75" customHeight="1" x14ac:dyDescent="0.25">
      <c r="A104" s="81"/>
      <c r="B104" s="93"/>
      <c r="C104" s="94"/>
      <c r="D104" s="94"/>
    </row>
    <row r="105" spans="1:4" ht="15.75" customHeight="1" x14ac:dyDescent="0.25">
      <c r="A105" s="81"/>
      <c r="B105" s="93"/>
      <c r="C105" s="94"/>
      <c r="D105" s="94"/>
    </row>
    <row r="106" spans="1:4" ht="15.75" customHeight="1" x14ac:dyDescent="0.25">
      <c r="A106" s="81"/>
      <c r="B106" s="93"/>
      <c r="C106" s="94"/>
      <c r="D106" s="94"/>
    </row>
    <row r="107" spans="1:4" ht="15.75" customHeight="1" x14ac:dyDescent="0.25">
      <c r="A107" s="81"/>
      <c r="B107" s="93"/>
      <c r="C107" s="94"/>
      <c r="D107" s="94"/>
    </row>
    <row r="108" spans="1:4" ht="15.75" customHeight="1" x14ac:dyDescent="0.25">
      <c r="A108" s="81"/>
      <c r="B108" s="93"/>
      <c r="C108" s="94"/>
      <c r="D108" s="94"/>
    </row>
    <row r="109" spans="1:4" ht="15.75" customHeight="1" x14ac:dyDescent="0.25">
      <c r="A109" s="81"/>
      <c r="B109" s="93"/>
      <c r="C109" s="94"/>
      <c r="D109" s="94"/>
    </row>
    <row r="110" spans="1:4" ht="15.75" customHeight="1" x14ac:dyDescent="0.25">
      <c r="A110" s="81"/>
      <c r="B110" s="93"/>
      <c r="C110" s="94"/>
      <c r="D110" s="94"/>
    </row>
    <row r="111" spans="1:4" ht="15.75" customHeight="1" x14ac:dyDescent="0.25">
      <c r="A111" s="81"/>
      <c r="B111" s="93"/>
      <c r="C111" s="94"/>
      <c r="D111" s="94"/>
    </row>
    <row r="112" spans="1:4" ht="15.75" customHeight="1" x14ac:dyDescent="0.25">
      <c r="A112" s="81"/>
      <c r="B112" s="93"/>
      <c r="C112" s="94"/>
      <c r="D112" s="94"/>
    </row>
    <row r="113" spans="1:4" ht="15.75" customHeight="1" x14ac:dyDescent="0.25">
      <c r="A113" s="81"/>
      <c r="B113" s="93"/>
      <c r="C113" s="94"/>
      <c r="D113" s="94"/>
    </row>
    <row r="114" spans="1:4" ht="15.75" customHeight="1" x14ac:dyDescent="0.25">
      <c r="A114" s="81"/>
      <c r="B114" s="93"/>
      <c r="C114" s="94"/>
      <c r="D114" s="94"/>
    </row>
    <row r="115" spans="1:4" ht="15.75" customHeight="1" x14ac:dyDescent="0.25">
      <c r="A115" s="81"/>
      <c r="B115" s="93"/>
      <c r="C115" s="94"/>
      <c r="D115" s="94"/>
    </row>
    <row r="116" spans="1:4" ht="15.75" customHeight="1" x14ac:dyDescent="0.25">
      <c r="A116" s="81"/>
      <c r="B116" s="93"/>
      <c r="C116" s="94"/>
      <c r="D116" s="94"/>
    </row>
    <row r="117" spans="1:4" ht="15.75" customHeight="1" x14ac:dyDescent="0.25">
      <c r="A117" s="81"/>
      <c r="B117" s="93"/>
      <c r="C117" s="94"/>
      <c r="D117" s="94"/>
    </row>
    <row r="118" spans="1:4" ht="15.75" customHeight="1" x14ac:dyDescent="0.25">
      <c r="A118" s="81"/>
      <c r="B118" s="93"/>
      <c r="C118" s="94"/>
      <c r="D118" s="94"/>
    </row>
    <row r="119" spans="1:4" ht="15.75" customHeight="1" x14ac:dyDescent="0.25">
      <c r="A119" s="81"/>
      <c r="B119" s="93"/>
      <c r="C119" s="94"/>
      <c r="D119" s="94"/>
    </row>
    <row r="120" spans="1:4" ht="15.75" customHeight="1" x14ac:dyDescent="0.25">
      <c r="A120" s="81"/>
      <c r="B120" s="93"/>
      <c r="C120" s="94"/>
      <c r="D120" s="94"/>
    </row>
    <row r="121" spans="1:4" ht="15.75" customHeight="1" x14ac:dyDescent="0.25">
      <c r="A121" s="81"/>
      <c r="B121" s="93"/>
      <c r="C121" s="94"/>
      <c r="D121" s="94"/>
    </row>
    <row r="122" spans="1:4" ht="15.75" customHeight="1" x14ac:dyDescent="0.25">
      <c r="A122" s="81"/>
      <c r="B122" s="93"/>
      <c r="C122" s="94"/>
      <c r="D122" s="94"/>
    </row>
    <row r="123" spans="1:4" ht="15.75" customHeight="1" x14ac:dyDescent="0.25">
      <c r="A123" s="81"/>
      <c r="B123" s="93"/>
      <c r="C123" s="94"/>
      <c r="D123" s="94"/>
    </row>
    <row r="124" spans="1:4" ht="15.75" customHeight="1" x14ac:dyDescent="0.25">
      <c r="A124" s="81"/>
      <c r="B124" s="93"/>
      <c r="C124" s="94"/>
      <c r="D124" s="94"/>
    </row>
    <row r="125" spans="1:4" ht="15.75" customHeight="1" x14ac:dyDescent="0.25">
      <c r="A125" s="81"/>
      <c r="B125" s="93"/>
      <c r="C125" s="94"/>
      <c r="D125" s="94"/>
    </row>
    <row r="126" spans="1:4" ht="15.75" customHeight="1" x14ac:dyDescent="0.25">
      <c r="A126" s="81"/>
      <c r="B126" s="93"/>
      <c r="C126" s="94"/>
      <c r="D126" s="94"/>
    </row>
    <row r="127" spans="1:4" ht="15.75" customHeight="1" x14ac:dyDescent="0.25">
      <c r="A127" s="81"/>
      <c r="B127" s="93"/>
      <c r="C127" s="94"/>
      <c r="D127" s="94"/>
    </row>
    <row r="128" spans="1:4" ht="15.75" customHeight="1" x14ac:dyDescent="0.25">
      <c r="A128" s="81"/>
      <c r="B128" s="93"/>
      <c r="C128" s="94"/>
      <c r="D128" s="94"/>
    </row>
    <row r="129" spans="1:4" ht="15.75" customHeight="1" x14ac:dyDescent="0.25">
      <c r="A129" s="81"/>
      <c r="B129" s="93"/>
      <c r="C129" s="94"/>
      <c r="D129" s="94"/>
    </row>
    <row r="130" spans="1:4" ht="15.75" customHeight="1" x14ac:dyDescent="0.25">
      <c r="A130" s="81"/>
      <c r="B130" s="93"/>
      <c r="C130" s="94"/>
      <c r="D130" s="94"/>
    </row>
    <row r="131" spans="1:4" ht="15.75" customHeight="1" x14ac:dyDescent="0.25">
      <c r="A131" s="81"/>
      <c r="B131" s="93"/>
      <c r="C131" s="94"/>
      <c r="D131" s="94"/>
    </row>
    <row r="132" spans="1:4" ht="15.75" customHeight="1" x14ac:dyDescent="0.25">
      <c r="A132" s="81"/>
      <c r="B132" s="93"/>
      <c r="C132" s="94"/>
      <c r="D132" s="94"/>
    </row>
    <row r="133" spans="1:4" ht="15.75" customHeight="1" x14ac:dyDescent="0.25">
      <c r="A133" s="81"/>
      <c r="B133" s="93"/>
      <c r="C133" s="94"/>
      <c r="D133" s="94"/>
    </row>
    <row r="134" spans="1:4" ht="15.75" customHeight="1" x14ac:dyDescent="0.25">
      <c r="A134" s="81"/>
      <c r="B134" s="93"/>
      <c r="C134" s="94"/>
      <c r="D134" s="94"/>
    </row>
    <row r="135" spans="1:4" ht="15.75" customHeight="1" x14ac:dyDescent="0.25">
      <c r="A135" s="81"/>
      <c r="B135" s="93"/>
      <c r="C135" s="94"/>
      <c r="D135" s="94"/>
    </row>
    <row r="136" spans="1:4" ht="15.75" customHeight="1" x14ac:dyDescent="0.25">
      <c r="A136" s="81"/>
      <c r="B136" s="93"/>
      <c r="C136" s="94"/>
      <c r="D136" s="94"/>
    </row>
    <row r="137" spans="1:4" ht="15.75" customHeight="1" x14ac:dyDescent="0.25">
      <c r="A137" s="81"/>
      <c r="B137" s="93"/>
      <c r="C137" s="94"/>
      <c r="D137" s="94"/>
    </row>
    <row r="138" spans="1:4" ht="15.75" customHeight="1" x14ac:dyDescent="0.25">
      <c r="A138" s="81"/>
      <c r="B138" s="93"/>
      <c r="C138" s="94"/>
      <c r="D138" s="94"/>
    </row>
    <row r="139" spans="1:4" ht="15.75" customHeight="1" x14ac:dyDescent="0.25">
      <c r="A139" s="81"/>
      <c r="B139" s="93"/>
      <c r="C139" s="94"/>
      <c r="D139" s="94"/>
    </row>
    <row r="140" spans="1:4" ht="15.75" customHeight="1" x14ac:dyDescent="0.25">
      <c r="A140" s="81"/>
      <c r="B140" s="93"/>
      <c r="C140" s="94"/>
      <c r="D140" s="94"/>
    </row>
    <row r="141" spans="1:4" ht="15.75" customHeight="1" x14ac:dyDescent="0.25">
      <c r="A141" s="81"/>
      <c r="B141" s="93"/>
      <c r="C141" s="94"/>
      <c r="D141" s="94"/>
    </row>
    <row r="142" spans="1:4" ht="15.75" customHeight="1" x14ac:dyDescent="0.25">
      <c r="A142" s="81"/>
      <c r="B142" s="93"/>
      <c r="C142" s="94"/>
      <c r="D142" s="94"/>
    </row>
    <row r="143" spans="1:4" ht="15.75" customHeight="1" x14ac:dyDescent="0.25">
      <c r="A143" s="81"/>
      <c r="B143" s="93"/>
      <c r="C143" s="94"/>
      <c r="D143" s="94"/>
    </row>
    <row r="144" spans="1:4" ht="15.75" customHeight="1" x14ac:dyDescent="0.25">
      <c r="A144" s="81"/>
      <c r="B144" s="93"/>
      <c r="C144" s="94"/>
      <c r="D144" s="94"/>
    </row>
    <row r="145" spans="1:4" ht="15.75" customHeight="1" x14ac:dyDescent="0.25">
      <c r="A145" s="81"/>
      <c r="B145" s="93"/>
      <c r="C145" s="94"/>
      <c r="D145" s="94"/>
    </row>
    <row r="146" spans="1:4" ht="15.75" customHeight="1" x14ac:dyDescent="0.25">
      <c r="A146" s="81"/>
      <c r="B146" s="93"/>
      <c r="C146" s="94"/>
      <c r="D146" s="94"/>
    </row>
    <row r="147" spans="1:4" ht="15.75" customHeight="1" x14ac:dyDescent="0.25">
      <c r="A147" s="81"/>
      <c r="B147" s="93"/>
      <c r="C147" s="94"/>
      <c r="D147" s="94"/>
    </row>
    <row r="148" spans="1:4" ht="15.75" customHeight="1" x14ac:dyDescent="0.25">
      <c r="A148" s="81"/>
      <c r="B148" s="93"/>
      <c r="C148" s="94"/>
      <c r="D148" s="94"/>
    </row>
    <row r="149" spans="1:4" ht="15.75" customHeight="1" x14ac:dyDescent="0.25">
      <c r="A149" s="81"/>
      <c r="B149" s="93"/>
      <c r="C149" s="94"/>
      <c r="D149" s="94"/>
    </row>
    <row r="150" spans="1:4" ht="15.75" customHeight="1" x14ac:dyDescent="0.25">
      <c r="A150" s="81"/>
      <c r="B150" s="93"/>
      <c r="C150" s="94"/>
      <c r="D150" s="94"/>
    </row>
    <row r="151" spans="1:4" ht="15.75" customHeight="1" x14ac:dyDescent="0.25">
      <c r="A151" s="81"/>
      <c r="B151" s="93"/>
      <c r="C151" s="94"/>
      <c r="D151" s="94"/>
    </row>
    <row r="152" spans="1:4" ht="15.75" customHeight="1" x14ac:dyDescent="0.25">
      <c r="A152" s="81"/>
      <c r="B152" s="93"/>
      <c r="C152" s="94"/>
      <c r="D152" s="94"/>
    </row>
    <row r="153" spans="1:4" ht="15.75" customHeight="1" x14ac:dyDescent="0.25">
      <c r="A153" s="81"/>
      <c r="B153" s="93"/>
      <c r="C153" s="94"/>
      <c r="D153" s="94"/>
    </row>
    <row r="154" spans="1:4" ht="15.75" customHeight="1" x14ac:dyDescent="0.25">
      <c r="A154" s="81"/>
      <c r="B154" s="93"/>
      <c r="C154" s="94"/>
      <c r="D154" s="94"/>
    </row>
    <row r="155" spans="1:4" ht="15.75" customHeight="1" x14ac:dyDescent="0.25">
      <c r="A155" s="81"/>
      <c r="B155" s="93"/>
      <c r="C155" s="94"/>
      <c r="D155" s="94"/>
    </row>
    <row r="156" spans="1:4" ht="15.75" customHeight="1" x14ac:dyDescent="0.25">
      <c r="A156" s="81"/>
      <c r="B156" s="93"/>
      <c r="C156" s="94"/>
      <c r="D156" s="94"/>
    </row>
    <row r="157" spans="1:4" ht="15.75" customHeight="1" x14ac:dyDescent="0.25">
      <c r="A157" s="81"/>
      <c r="B157" s="93"/>
      <c r="C157" s="94"/>
      <c r="D157" s="94"/>
    </row>
    <row r="158" spans="1:4" ht="15.75" customHeight="1" x14ac:dyDescent="0.25">
      <c r="A158" s="81"/>
      <c r="B158" s="93"/>
      <c r="C158" s="94"/>
      <c r="D158" s="94"/>
    </row>
    <row r="159" spans="1:4" ht="15.75" customHeight="1" x14ac:dyDescent="0.25">
      <c r="A159" s="81"/>
      <c r="B159" s="93"/>
      <c r="C159" s="94"/>
      <c r="D159" s="94"/>
    </row>
    <row r="160" spans="1:4" ht="15.75" customHeight="1" x14ac:dyDescent="0.25">
      <c r="A160" s="81"/>
      <c r="B160" s="93"/>
      <c r="C160" s="94"/>
      <c r="D160" s="94"/>
    </row>
    <row r="161" spans="1:4" ht="15.75" customHeight="1" x14ac:dyDescent="0.25">
      <c r="A161" s="81"/>
      <c r="B161" s="93"/>
      <c r="C161" s="94"/>
      <c r="D161" s="94"/>
    </row>
    <row r="162" spans="1:4" ht="15.75" customHeight="1" x14ac:dyDescent="0.25">
      <c r="A162" s="81"/>
      <c r="B162" s="93"/>
      <c r="C162" s="94"/>
      <c r="D162" s="94"/>
    </row>
    <row r="163" spans="1:4" ht="15.75" customHeight="1" x14ac:dyDescent="0.25">
      <c r="A163" s="81"/>
      <c r="B163" s="93"/>
      <c r="C163" s="94"/>
      <c r="D163" s="94"/>
    </row>
    <row r="164" spans="1:4" ht="15.75" customHeight="1" x14ac:dyDescent="0.25">
      <c r="A164" s="81"/>
      <c r="B164" s="93"/>
      <c r="C164" s="94"/>
      <c r="D164" s="94"/>
    </row>
    <row r="165" spans="1:4" ht="15.75" customHeight="1" x14ac:dyDescent="0.25">
      <c r="A165" s="81"/>
      <c r="B165" s="93"/>
      <c r="C165" s="94"/>
      <c r="D165" s="94"/>
    </row>
    <row r="166" spans="1:4" ht="15.75" customHeight="1" x14ac:dyDescent="0.25">
      <c r="A166" s="81"/>
      <c r="B166" s="93"/>
      <c r="C166" s="94"/>
      <c r="D166" s="94"/>
    </row>
    <row r="167" spans="1:4" ht="15.75" customHeight="1" x14ac:dyDescent="0.25">
      <c r="A167" s="81"/>
      <c r="B167" s="93"/>
      <c r="C167" s="94"/>
      <c r="D167" s="94"/>
    </row>
    <row r="168" spans="1:4" ht="15.75" customHeight="1" x14ac:dyDescent="0.25">
      <c r="A168" s="81"/>
      <c r="B168" s="93"/>
      <c r="C168" s="94"/>
      <c r="D168" s="94"/>
    </row>
    <row r="169" spans="1:4" ht="15.75" customHeight="1" x14ac:dyDescent="0.25">
      <c r="A169" s="81"/>
      <c r="B169" s="93"/>
      <c r="C169" s="94"/>
      <c r="D169" s="94"/>
    </row>
    <row r="170" spans="1:4" ht="15.75" customHeight="1" x14ac:dyDescent="0.25">
      <c r="A170" s="81"/>
      <c r="B170" s="93"/>
      <c r="C170" s="94"/>
      <c r="D170" s="94"/>
    </row>
    <row r="171" spans="1:4" ht="15.75" customHeight="1" x14ac:dyDescent="0.25">
      <c r="A171" s="81"/>
      <c r="B171" s="93"/>
      <c r="C171" s="94"/>
      <c r="D171" s="94"/>
    </row>
    <row r="172" spans="1:4" ht="15.75" customHeight="1" x14ac:dyDescent="0.25">
      <c r="A172" s="81"/>
      <c r="B172" s="93"/>
      <c r="C172" s="94"/>
      <c r="D172" s="94"/>
    </row>
    <row r="173" spans="1:4" ht="15.75" customHeight="1" x14ac:dyDescent="0.25">
      <c r="A173" s="81"/>
      <c r="B173" s="93"/>
      <c r="C173" s="94"/>
      <c r="D173" s="94"/>
    </row>
    <row r="174" spans="1:4" ht="15.75" customHeight="1" x14ac:dyDescent="0.25">
      <c r="A174" s="81"/>
      <c r="B174" s="93"/>
      <c r="C174" s="94"/>
      <c r="D174" s="94"/>
    </row>
    <row r="175" spans="1:4" ht="15.75" customHeight="1" x14ac:dyDescent="0.25">
      <c r="A175" s="81"/>
      <c r="B175" s="93"/>
      <c r="C175" s="94"/>
      <c r="D175" s="94"/>
    </row>
    <row r="176" spans="1:4" ht="15.75" customHeight="1" x14ac:dyDescent="0.25">
      <c r="A176" s="81"/>
      <c r="B176" s="93"/>
      <c r="C176" s="94"/>
      <c r="D176" s="94"/>
    </row>
    <row r="177" spans="1:4" ht="15.75" customHeight="1" x14ac:dyDescent="0.25">
      <c r="A177" s="81"/>
      <c r="B177" s="93"/>
      <c r="C177" s="94"/>
      <c r="D177" s="94"/>
    </row>
    <row r="178" spans="1:4" ht="15.75" customHeight="1" x14ac:dyDescent="0.25">
      <c r="A178" s="81"/>
      <c r="B178" s="93"/>
      <c r="C178" s="94"/>
      <c r="D178" s="94"/>
    </row>
    <row r="179" spans="1:4" ht="15.75" customHeight="1" x14ac:dyDescent="0.25">
      <c r="A179" s="81"/>
      <c r="B179" s="93"/>
      <c r="C179" s="94"/>
      <c r="D179" s="94"/>
    </row>
    <row r="180" spans="1:4" ht="15.75" customHeight="1" x14ac:dyDescent="0.25">
      <c r="A180" s="81"/>
      <c r="B180" s="93"/>
      <c r="C180" s="94"/>
      <c r="D180" s="94"/>
    </row>
    <row r="181" spans="1:4" ht="15.75" customHeight="1" x14ac:dyDescent="0.25">
      <c r="A181" s="81"/>
      <c r="B181" s="93"/>
      <c r="C181" s="94"/>
      <c r="D181" s="94"/>
    </row>
    <row r="182" spans="1:4" ht="15.75" customHeight="1" x14ac:dyDescent="0.25">
      <c r="A182" s="81"/>
      <c r="B182" s="93"/>
      <c r="C182" s="94"/>
      <c r="D182" s="94"/>
    </row>
    <row r="183" spans="1:4" ht="15.75" customHeight="1" x14ac:dyDescent="0.25">
      <c r="A183" s="81"/>
      <c r="B183" s="93"/>
      <c r="C183" s="94"/>
      <c r="D183" s="94"/>
    </row>
    <row r="184" spans="1:4" ht="15.75" customHeight="1" x14ac:dyDescent="0.25">
      <c r="A184" s="81"/>
      <c r="B184" s="93"/>
      <c r="C184" s="94"/>
      <c r="D184" s="94"/>
    </row>
    <row r="185" spans="1:4" ht="15.75" customHeight="1" x14ac:dyDescent="0.25">
      <c r="A185" s="81"/>
      <c r="B185" s="93"/>
      <c r="C185" s="94"/>
      <c r="D185" s="94"/>
    </row>
    <row r="186" spans="1:4" ht="15.75" customHeight="1" x14ac:dyDescent="0.25">
      <c r="A186" s="81"/>
      <c r="B186" s="93"/>
      <c r="C186" s="94"/>
      <c r="D186" s="94"/>
    </row>
    <row r="187" spans="1:4" ht="15.75" customHeight="1" x14ac:dyDescent="0.25">
      <c r="A187" s="81"/>
      <c r="B187" s="93"/>
      <c r="C187" s="94"/>
      <c r="D187" s="94"/>
    </row>
    <row r="188" spans="1:4" ht="15.75" customHeight="1" x14ac:dyDescent="0.25">
      <c r="A188" s="81"/>
      <c r="B188" s="93"/>
      <c r="C188" s="94"/>
      <c r="D188" s="94"/>
    </row>
    <row r="189" spans="1:4" ht="15.75" customHeight="1" x14ac:dyDescent="0.25">
      <c r="A189" s="81"/>
      <c r="B189" s="93"/>
      <c r="C189" s="94"/>
      <c r="D189" s="94"/>
    </row>
    <row r="190" spans="1:4" ht="15.75" customHeight="1" x14ac:dyDescent="0.25">
      <c r="A190" s="81"/>
      <c r="B190" s="93"/>
      <c r="C190" s="94"/>
      <c r="D190" s="94"/>
    </row>
    <row r="191" spans="1:4" ht="15.75" customHeight="1" x14ac:dyDescent="0.25">
      <c r="A191" s="81"/>
      <c r="B191" s="93"/>
      <c r="C191" s="94"/>
      <c r="D191" s="94"/>
    </row>
    <row r="192" spans="1:4" ht="15.75" customHeight="1" x14ac:dyDescent="0.25">
      <c r="A192" s="81"/>
      <c r="B192" s="93"/>
      <c r="C192" s="94"/>
      <c r="D192" s="94"/>
    </row>
    <row r="193" spans="1:4" ht="15.75" customHeight="1" x14ac:dyDescent="0.25">
      <c r="A193" s="81"/>
      <c r="B193" s="93"/>
      <c r="C193" s="94"/>
      <c r="D193" s="94"/>
    </row>
    <row r="194" spans="1:4" ht="15.75" customHeight="1" x14ac:dyDescent="0.25">
      <c r="A194" s="81"/>
      <c r="B194" s="93"/>
      <c r="C194" s="94"/>
      <c r="D194" s="94"/>
    </row>
    <row r="195" spans="1:4" ht="15.75" customHeight="1" x14ac:dyDescent="0.25">
      <c r="A195" s="81"/>
      <c r="B195" s="93"/>
      <c r="C195" s="94"/>
      <c r="D195" s="94"/>
    </row>
    <row r="196" spans="1:4" ht="15.75" customHeight="1" x14ac:dyDescent="0.25">
      <c r="A196" s="81"/>
      <c r="B196" s="93"/>
      <c r="C196" s="94"/>
      <c r="D196" s="94"/>
    </row>
    <row r="197" spans="1:4" ht="15.75" customHeight="1" x14ac:dyDescent="0.25">
      <c r="A197" s="81"/>
      <c r="B197" s="93"/>
      <c r="C197" s="94"/>
      <c r="D197" s="94"/>
    </row>
    <row r="198" spans="1:4" ht="15.75" customHeight="1" x14ac:dyDescent="0.25">
      <c r="A198" s="81"/>
      <c r="B198" s="93"/>
      <c r="C198" s="94"/>
      <c r="D198" s="94"/>
    </row>
    <row r="199" spans="1:4" ht="15.75" customHeight="1" x14ac:dyDescent="0.25">
      <c r="A199" s="81"/>
      <c r="B199" s="93"/>
      <c r="C199" s="94"/>
      <c r="D199" s="94"/>
    </row>
    <row r="200" spans="1:4" ht="15.75" customHeight="1" x14ac:dyDescent="0.25">
      <c r="A200" s="81"/>
      <c r="B200" s="93"/>
      <c r="C200" s="94"/>
      <c r="D200" s="94"/>
    </row>
    <row r="201" spans="1:4" ht="15.75" customHeight="1" x14ac:dyDescent="0.25">
      <c r="A201" s="81"/>
      <c r="B201" s="93"/>
      <c r="C201" s="94"/>
      <c r="D201" s="94"/>
    </row>
    <row r="202" spans="1:4" ht="15.75" customHeight="1" x14ac:dyDescent="0.25">
      <c r="A202" s="81"/>
      <c r="B202" s="93"/>
      <c r="C202" s="94"/>
      <c r="D202" s="94"/>
    </row>
    <row r="203" spans="1:4" ht="15.75" customHeight="1" x14ac:dyDescent="0.25">
      <c r="A203" s="81"/>
      <c r="B203" s="93"/>
      <c r="C203" s="94"/>
      <c r="D203" s="94"/>
    </row>
    <row r="204" spans="1:4" ht="15.75" customHeight="1" x14ac:dyDescent="0.25">
      <c r="A204" s="81"/>
      <c r="B204" s="93"/>
      <c r="C204" s="94"/>
      <c r="D204" s="94"/>
    </row>
    <row r="205" spans="1:4" ht="15.75" customHeight="1" x14ac:dyDescent="0.25">
      <c r="A205" s="81"/>
      <c r="B205" s="93"/>
      <c r="C205" s="94"/>
      <c r="D205" s="94"/>
    </row>
    <row r="206" spans="1:4" ht="15.75" customHeight="1" x14ac:dyDescent="0.25">
      <c r="A206" s="81"/>
      <c r="B206" s="93"/>
      <c r="C206" s="94"/>
      <c r="D206" s="94"/>
    </row>
    <row r="207" spans="1:4" ht="15.75" customHeight="1" x14ac:dyDescent="0.25">
      <c r="A207" s="81"/>
      <c r="B207" s="93"/>
      <c r="C207" s="94"/>
      <c r="D207" s="94"/>
    </row>
    <row r="208" spans="1:4" ht="15.75" customHeight="1" x14ac:dyDescent="0.25">
      <c r="A208" s="1"/>
      <c r="B208" s="93"/>
      <c r="C208" s="93"/>
      <c r="D208" s="93"/>
    </row>
    <row r="209" spans="1:8" ht="15.75" customHeight="1" x14ac:dyDescent="0.25">
      <c r="A209" s="1"/>
      <c r="B209" s="95" t="s">
        <v>154</v>
      </c>
      <c r="C209" s="95" t="s">
        <v>155</v>
      </c>
      <c r="D209" s="96" t="s">
        <v>154</v>
      </c>
      <c r="E209" s="96" t="s">
        <v>155</v>
      </c>
    </row>
    <row r="210" spans="1:8" ht="15.75" customHeight="1" x14ac:dyDescent="0.35">
      <c r="A210" s="1"/>
      <c r="B210" s="97" t="s">
        <v>156</v>
      </c>
      <c r="C210" s="97" t="s">
        <v>157</v>
      </c>
      <c r="D210" s="98" t="s">
        <v>156</v>
      </c>
      <c r="F210" s="98" t="str">
        <f t="shared" ref="F210:F221" si="0">IF(NOT(ISBLANK(D210)),D210,IF(NOT(ISBLANK(E210)),"     "&amp;E210,FALSE))</f>
        <v>Afectación Económica o presupuestal</v>
      </c>
      <c r="G210" s="98" t="s">
        <v>156</v>
      </c>
      <c r="H210" s="98" t="str">
        <f ca="1">IF(NOT(ISERROR(MATCH(G210,ANCHORARRAY(B221),0))),F223&amp;"Por favor no seleccionar los criterios de impacto",G210)</f>
        <v>Afectación Económica o presupuestal</v>
      </c>
    </row>
    <row r="211" spans="1:8" ht="15.75" customHeight="1" x14ac:dyDescent="0.35">
      <c r="A211" s="1"/>
      <c r="B211" s="97" t="s">
        <v>156</v>
      </c>
      <c r="C211" s="97" t="s">
        <v>129</v>
      </c>
      <c r="E211" s="98" t="s">
        <v>157</v>
      </c>
      <c r="F211" s="98" t="str">
        <f t="shared" si="0"/>
        <v xml:space="preserve">     Afectación menor a 10 SMLMV .</v>
      </c>
    </row>
    <row r="212" spans="1:8" ht="15.75" customHeight="1" x14ac:dyDescent="0.35">
      <c r="A212" s="1"/>
      <c r="B212" s="97" t="s">
        <v>156</v>
      </c>
      <c r="C212" s="97" t="s">
        <v>132</v>
      </c>
      <c r="E212" s="98" t="s">
        <v>129</v>
      </c>
      <c r="F212" s="98" t="str">
        <f t="shared" si="0"/>
        <v xml:space="preserve">     Entre 10 y 50 SMLMV </v>
      </c>
    </row>
    <row r="213" spans="1:8" ht="15.75" customHeight="1" x14ac:dyDescent="0.35">
      <c r="A213" s="1"/>
      <c r="B213" s="97" t="s">
        <v>156</v>
      </c>
      <c r="C213" s="97" t="s">
        <v>136</v>
      </c>
      <c r="E213" s="98" t="s">
        <v>132</v>
      </c>
      <c r="F213" s="98" t="str">
        <f t="shared" si="0"/>
        <v xml:space="preserve">     Entre 50 y 100 SMLMV </v>
      </c>
    </row>
    <row r="214" spans="1:8" ht="15.75" customHeight="1" x14ac:dyDescent="0.35">
      <c r="A214" s="1"/>
      <c r="B214" s="97" t="s">
        <v>156</v>
      </c>
      <c r="C214" s="97" t="s">
        <v>140</v>
      </c>
      <c r="E214" s="98" t="s">
        <v>136</v>
      </c>
      <c r="F214" s="98" t="str">
        <f t="shared" si="0"/>
        <v xml:space="preserve">     Entre 100 y 500 SMLMV </v>
      </c>
    </row>
    <row r="215" spans="1:8" ht="15.75" customHeight="1" x14ac:dyDescent="0.35">
      <c r="A215" s="1"/>
      <c r="B215" s="97" t="s">
        <v>122</v>
      </c>
      <c r="C215" s="97" t="s">
        <v>126</v>
      </c>
      <c r="E215" s="98" t="s">
        <v>140</v>
      </c>
      <c r="F215" s="98" t="str">
        <f t="shared" si="0"/>
        <v xml:space="preserve">     Mayor a 500 SMLMV </v>
      </c>
    </row>
    <row r="216" spans="1:8" ht="15.75" customHeight="1" x14ac:dyDescent="0.35">
      <c r="A216" s="1"/>
      <c r="B216" s="97" t="s">
        <v>122</v>
      </c>
      <c r="C216" s="97" t="s">
        <v>130</v>
      </c>
      <c r="D216" s="98" t="s">
        <v>122</v>
      </c>
      <c r="F216" s="98" t="str">
        <f t="shared" si="0"/>
        <v>Pérdida Reputacional</v>
      </c>
    </row>
    <row r="217" spans="1:8" ht="15.75" customHeight="1" x14ac:dyDescent="0.35">
      <c r="A217" s="1"/>
      <c r="B217" s="97" t="s">
        <v>122</v>
      </c>
      <c r="C217" s="97" t="s">
        <v>133</v>
      </c>
      <c r="E217" s="98" t="s">
        <v>126</v>
      </c>
      <c r="F217" s="98" t="str">
        <f t="shared" si="0"/>
        <v xml:space="preserve">     El riesgo afecta la imagen de alguna área de la organización</v>
      </c>
    </row>
    <row r="218" spans="1:8" ht="15.75" customHeight="1" x14ac:dyDescent="0.35">
      <c r="A218" s="1"/>
      <c r="B218" s="97" t="s">
        <v>122</v>
      </c>
      <c r="C218" s="97" t="s">
        <v>137</v>
      </c>
      <c r="E218" s="98" t="s">
        <v>130</v>
      </c>
      <c r="F218" s="98" t="str">
        <f t="shared" si="0"/>
        <v xml:space="preserve">     El riesgo afecta la imagen de la entidad internamente, de conocimiento general, nivel interno, de junta dircetiva y accionistas y/o de provedores</v>
      </c>
    </row>
    <row r="219" spans="1:8" ht="15.75" customHeight="1" x14ac:dyDescent="0.35">
      <c r="A219" s="1"/>
      <c r="B219" s="97" t="s">
        <v>122</v>
      </c>
      <c r="C219" s="97" t="s">
        <v>141</v>
      </c>
      <c r="E219" s="98" t="s">
        <v>133</v>
      </c>
      <c r="F219" s="98" t="str">
        <f t="shared" si="0"/>
        <v xml:space="preserve">     El riesgo afecta la imagen de la entidad con algunos usuarios de relevancia frente al logro de los objetivos</v>
      </c>
    </row>
    <row r="220" spans="1:8" ht="15.75" customHeight="1" x14ac:dyDescent="0.25">
      <c r="A220" s="1"/>
      <c r="B220" s="99"/>
      <c r="C220" s="99"/>
      <c r="E220" s="98" t="s">
        <v>137</v>
      </c>
      <c r="F220" s="98" t="str">
        <f t="shared" si="0"/>
        <v xml:space="preserve">     El riesgo afecta la imagen de de la entidad con efecto publicitario sostenido a nivel de sector administrativo, nivel departamental o municipal</v>
      </c>
    </row>
    <row r="221" spans="1:8" ht="15.75" customHeight="1" x14ac:dyDescent="0.25">
      <c r="A221" s="1"/>
      <c r="B221" s="99" t="str">
        <f ca="1">IFERROR(__xludf.DUMMYFUNCTION("ARRAY_CONSTRAIN(ARRAYFORMULA(UNIQUE('Tabla Impacto'!$B$209:$B$219)), 3, 1)"),"Criterios")</f>
        <v>Criterios</v>
      </c>
      <c r="C221" s="99"/>
      <c r="E221" s="98" t="s">
        <v>141</v>
      </c>
      <c r="F221" s="98" t="str">
        <f t="shared" si="0"/>
        <v xml:space="preserve">     El riesgo afecta la imagen de la entidad a nivel nacional, con efecto publicitarios sostenible a nivel país</v>
      </c>
    </row>
    <row r="222" spans="1:8" ht="15.75" customHeight="1" x14ac:dyDescent="0.25">
      <c r="A222" s="1"/>
      <c r="B222" s="99" t="str">
        <f ca="1">IFERROR(__xludf.DUMMYFUNCTION("""COMPUTED_VALUE"""),"Afectación Económica o presupuestal")</f>
        <v>Afectación Económica o presupuestal</v>
      </c>
      <c r="C222" s="99"/>
    </row>
    <row r="223" spans="1:8" ht="15.75" customHeight="1" x14ac:dyDescent="0.25">
      <c r="B223" s="99" t="str">
        <f ca="1">IFERROR(__xludf.DUMMYFUNCTION("""COMPUTED_VALUE"""),"Pérdida Reputacional")</f>
        <v>Pérdida Reputacional</v>
      </c>
      <c r="C223" s="99"/>
      <c r="F223" s="100" t="s">
        <v>158</v>
      </c>
    </row>
    <row r="224" spans="1:8" ht="15.75" customHeight="1" x14ac:dyDescent="0.25">
      <c r="B224" s="96"/>
      <c r="C224" s="96"/>
      <c r="F224" s="100" t="s">
        <v>159</v>
      </c>
    </row>
    <row r="225" spans="2:4" ht="15.75" customHeight="1" x14ac:dyDescent="0.25">
      <c r="B225" s="96"/>
      <c r="C225" s="96"/>
    </row>
    <row r="226" spans="2:4" ht="15.75" customHeight="1" x14ac:dyDescent="0.25">
      <c r="B226" s="96"/>
      <c r="C226" s="96"/>
    </row>
    <row r="227" spans="2:4" ht="15.75" customHeight="1" x14ac:dyDescent="0.25">
      <c r="B227" s="96"/>
      <c r="C227" s="96"/>
      <c r="D227" s="96"/>
    </row>
    <row r="228" spans="2:4" ht="15.75" customHeight="1" x14ac:dyDescent="0.25">
      <c r="B228" s="96"/>
      <c r="C228" s="96"/>
      <c r="D228" s="96"/>
    </row>
    <row r="229" spans="2:4" ht="15.75" customHeight="1" x14ac:dyDescent="0.25">
      <c r="B229" s="96"/>
      <c r="C229" s="96"/>
      <c r="D229" s="96"/>
    </row>
    <row r="230" spans="2:4" ht="15.75" customHeight="1" x14ac:dyDescent="0.25">
      <c r="B230" s="96"/>
      <c r="C230" s="96"/>
      <c r="D230" s="96"/>
    </row>
    <row r="231" spans="2:4" ht="15.75" customHeight="1" x14ac:dyDescent="0.25">
      <c r="B231" s="96"/>
      <c r="C231" s="96"/>
      <c r="D231" s="96"/>
    </row>
    <row r="232" spans="2:4" ht="15.75" customHeight="1" x14ac:dyDescent="0.25">
      <c r="B232" s="96"/>
      <c r="C232" s="96"/>
      <c r="D232" s="96"/>
    </row>
    <row r="233" spans="2:4" ht="15.75" customHeight="1" x14ac:dyDescent="0.2"/>
    <row r="234" spans="2:4" ht="15.75" customHeight="1" x14ac:dyDescent="0.2"/>
    <row r="235" spans="2:4" ht="15.75" customHeight="1" x14ac:dyDescent="0.2"/>
    <row r="236" spans="2:4" ht="15.75" customHeight="1" x14ac:dyDescent="0.2"/>
    <row r="237" spans="2:4" ht="15.75" customHeight="1" x14ac:dyDescent="0.2"/>
    <row r="238" spans="2:4" ht="15.75" customHeight="1" x14ac:dyDescent="0.2"/>
    <row r="239" spans="2:4" ht="15.75" customHeight="1" x14ac:dyDescent="0.2"/>
    <row r="240" spans="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election activeCell="E12" sqref="E12"/>
    </sheetView>
  </sheetViews>
  <sheetFormatPr baseColWidth="10" defaultColWidth="12.625" defaultRowHeight="15" customHeight="1" x14ac:dyDescent="0.2"/>
  <cols>
    <col min="1" max="2" width="12.5" customWidth="1"/>
    <col min="3" max="3" width="14.875" customWidth="1"/>
    <col min="4" max="4" width="12.5" customWidth="1"/>
    <col min="5" max="5" width="40.125" customWidth="1"/>
    <col min="6" max="26" width="12.5" customWidth="1"/>
  </cols>
  <sheetData>
    <row r="1" spans="1:26" ht="24" customHeight="1" x14ac:dyDescent="0.2">
      <c r="A1" s="101"/>
      <c r="B1" s="287" t="s">
        <v>160</v>
      </c>
      <c r="C1" s="288"/>
      <c r="D1" s="288"/>
      <c r="E1" s="288"/>
      <c r="F1" s="289"/>
      <c r="G1" s="101"/>
      <c r="H1" s="101"/>
      <c r="I1" s="101"/>
      <c r="J1" s="101"/>
      <c r="K1" s="101"/>
      <c r="L1" s="101"/>
      <c r="M1" s="101"/>
      <c r="N1" s="101"/>
      <c r="O1" s="101"/>
      <c r="P1" s="101"/>
      <c r="Q1" s="101"/>
      <c r="R1" s="101"/>
      <c r="S1" s="101"/>
      <c r="T1" s="101"/>
      <c r="U1" s="101"/>
      <c r="V1" s="101"/>
      <c r="W1" s="101"/>
      <c r="X1" s="101"/>
      <c r="Y1" s="101"/>
      <c r="Z1" s="101"/>
    </row>
    <row r="2" spans="1:26" ht="12.75" customHeight="1" x14ac:dyDescent="0.25">
      <c r="A2" s="101"/>
      <c r="B2" s="102"/>
      <c r="C2" s="102"/>
      <c r="D2" s="102"/>
      <c r="E2" s="102"/>
      <c r="F2" s="102"/>
      <c r="G2" s="101"/>
      <c r="H2" s="101"/>
      <c r="I2" s="101"/>
      <c r="J2" s="101"/>
      <c r="K2" s="101"/>
      <c r="L2" s="101"/>
      <c r="M2" s="101"/>
      <c r="N2" s="101"/>
      <c r="O2" s="101"/>
      <c r="P2" s="101"/>
      <c r="Q2" s="101"/>
      <c r="R2" s="101"/>
      <c r="S2" s="101"/>
      <c r="T2" s="101"/>
      <c r="U2" s="101"/>
      <c r="V2" s="101"/>
      <c r="W2" s="101"/>
      <c r="X2" s="101"/>
      <c r="Y2" s="101"/>
      <c r="Z2" s="101"/>
    </row>
    <row r="3" spans="1:26" ht="12.75" customHeight="1" x14ac:dyDescent="0.2">
      <c r="A3" s="101"/>
      <c r="B3" s="290" t="s">
        <v>161</v>
      </c>
      <c r="C3" s="288"/>
      <c r="D3" s="291"/>
      <c r="E3" s="103" t="s">
        <v>162</v>
      </c>
      <c r="F3" s="104" t="s">
        <v>163</v>
      </c>
      <c r="G3" s="101"/>
      <c r="H3" s="101"/>
      <c r="I3" s="101"/>
      <c r="J3" s="101"/>
      <c r="K3" s="101"/>
      <c r="L3" s="101"/>
      <c r="M3" s="101"/>
      <c r="N3" s="101"/>
      <c r="O3" s="101"/>
      <c r="P3" s="101"/>
      <c r="Q3" s="101"/>
      <c r="R3" s="101"/>
      <c r="S3" s="101"/>
      <c r="T3" s="101"/>
      <c r="U3" s="101"/>
      <c r="V3" s="101"/>
      <c r="W3" s="101"/>
      <c r="X3" s="101"/>
      <c r="Y3" s="101"/>
      <c r="Z3" s="101"/>
    </row>
    <row r="4" spans="1:26" ht="12.75" customHeight="1" x14ac:dyDescent="0.2">
      <c r="A4" s="101"/>
      <c r="B4" s="292" t="s">
        <v>164</v>
      </c>
      <c r="C4" s="295" t="s">
        <v>83</v>
      </c>
      <c r="D4" s="105" t="s">
        <v>165</v>
      </c>
      <c r="E4" s="106" t="s">
        <v>166</v>
      </c>
      <c r="F4" s="107">
        <v>0.25</v>
      </c>
      <c r="G4" s="101"/>
      <c r="H4" s="101"/>
      <c r="I4" s="101"/>
      <c r="J4" s="101"/>
      <c r="K4" s="101"/>
      <c r="L4" s="101"/>
      <c r="M4" s="101"/>
      <c r="N4" s="101"/>
      <c r="O4" s="101"/>
      <c r="P4" s="101"/>
      <c r="Q4" s="101"/>
      <c r="R4" s="101"/>
      <c r="S4" s="101"/>
      <c r="T4" s="101"/>
      <c r="U4" s="101"/>
      <c r="V4" s="101"/>
      <c r="W4" s="101"/>
      <c r="X4" s="101"/>
      <c r="Y4" s="101"/>
      <c r="Z4" s="101"/>
    </row>
    <row r="5" spans="1:26" ht="12.75" customHeight="1" x14ac:dyDescent="0.2">
      <c r="A5" s="101"/>
      <c r="B5" s="293"/>
      <c r="C5" s="296"/>
      <c r="D5" s="108" t="s">
        <v>167</v>
      </c>
      <c r="E5" s="109" t="s">
        <v>168</v>
      </c>
      <c r="F5" s="110">
        <v>0.15</v>
      </c>
      <c r="G5" s="101"/>
      <c r="H5" s="101"/>
      <c r="I5" s="101"/>
      <c r="J5" s="101"/>
      <c r="K5" s="101"/>
      <c r="L5" s="101"/>
      <c r="M5" s="101"/>
      <c r="N5" s="101"/>
      <c r="O5" s="101"/>
      <c r="P5" s="101"/>
      <c r="Q5" s="101"/>
      <c r="R5" s="101"/>
      <c r="S5" s="101"/>
      <c r="T5" s="101"/>
      <c r="U5" s="101"/>
      <c r="V5" s="101"/>
      <c r="W5" s="101"/>
      <c r="X5" s="101"/>
      <c r="Y5" s="101"/>
      <c r="Z5" s="101"/>
    </row>
    <row r="6" spans="1:26" ht="12.75" customHeight="1" x14ac:dyDescent="0.2">
      <c r="A6" s="101"/>
      <c r="B6" s="293"/>
      <c r="C6" s="285"/>
      <c r="D6" s="108" t="s">
        <v>169</v>
      </c>
      <c r="E6" s="109" t="s">
        <v>170</v>
      </c>
      <c r="F6" s="110">
        <v>0.1</v>
      </c>
      <c r="G6" s="101"/>
      <c r="H6" s="101"/>
      <c r="I6" s="101"/>
      <c r="J6" s="101"/>
      <c r="K6" s="101"/>
      <c r="L6" s="101"/>
      <c r="M6" s="101"/>
      <c r="N6" s="101"/>
      <c r="O6" s="101"/>
      <c r="P6" s="101"/>
      <c r="Q6" s="101"/>
      <c r="R6" s="101"/>
      <c r="S6" s="101"/>
      <c r="T6" s="101"/>
      <c r="U6" s="101"/>
      <c r="V6" s="101"/>
      <c r="W6" s="101"/>
      <c r="X6" s="101"/>
      <c r="Y6" s="101"/>
      <c r="Z6" s="101"/>
    </row>
    <row r="7" spans="1:26" ht="12.75" customHeight="1" x14ac:dyDescent="0.2">
      <c r="A7" s="101"/>
      <c r="B7" s="293"/>
      <c r="C7" s="284" t="s">
        <v>84</v>
      </c>
      <c r="D7" s="108" t="s">
        <v>171</v>
      </c>
      <c r="E7" s="109" t="s">
        <v>172</v>
      </c>
      <c r="F7" s="110">
        <v>0.25</v>
      </c>
      <c r="G7" s="101"/>
      <c r="H7" s="101"/>
      <c r="I7" s="101"/>
      <c r="J7" s="101"/>
      <c r="K7" s="101"/>
      <c r="L7" s="101"/>
      <c r="M7" s="101"/>
      <c r="N7" s="101"/>
      <c r="O7" s="101"/>
      <c r="P7" s="101"/>
      <c r="Q7" s="101"/>
      <c r="R7" s="101"/>
      <c r="S7" s="101"/>
      <c r="T7" s="101"/>
      <c r="U7" s="101"/>
      <c r="V7" s="101"/>
      <c r="W7" s="101"/>
      <c r="X7" s="101"/>
      <c r="Y7" s="101"/>
      <c r="Z7" s="101"/>
    </row>
    <row r="8" spans="1:26" ht="12.75" customHeight="1" x14ac:dyDescent="0.2">
      <c r="A8" s="101"/>
      <c r="B8" s="294"/>
      <c r="C8" s="285"/>
      <c r="D8" s="108" t="s">
        <v>173</v>
      </c>
      <c r="E8" s="109" t="s">
        <v>174</v>
      </c>
      <c r="F8" s="110">
        <v>0.15</v>
      </c>
      <c r="G8" s="101"/>
      <c r="H8" s="101"/>
      <c r="I8" s="101"/>
      <c r="J8" s="101"/>
      <c r="K8" s="101"/>
      <c r="L8" s="101"/>
      <c r="M8" s="101"/>
      <c r="N8" s="101"/>
      <c r="O8" s="101"/>
      <c r="P8" s="101"/>
      <c r="Q8" s="101"/>
      <c r="R8" s="101"/>
      <c r="S8" s="101"/>
      <c r="T8" s="101"/>
      <c r="U8" s="101"/>
      <c r="V8" s="101"/>
      <c r="W8" s="101"/>
      <c r="X8" s="101"/>
      <c r="Y8" s="101"/>
      <c r="Z8" s="101"/>
    </row>
    <row r="9" spans="1:26" ht="12.75" customHeight="1" x14ac:dyDescent="0.2">
      <c r="A9" s="101"/>
      <c r="B9" s="297" t="s">
        <v>175</v>
      </c>
      <c r="C9" s="284" t="s">
        <v>86</v>
      </c>
      <c r="D9" s="108" t="s">
        <v>176</v>
      </c>
      <c r="E9" s="109" t="s">
        <v>177</v>
      </c>
      <c r="F9" s="111" t="s">
        <v>178</v>
      </c>
      <c r="G9" s="101"/>
      <c r="H9" s="101"/>
      <c r="I9" s="101"/>
      <c r="J9" s="101"/>
      <c r="K9" s="101"/>
      <c r="L9" s="101"/>
      <c r="M9" s="101"/>
      <c r="N9" s="101"/>
      <c r="O9" s="101"/>
      <c r="P9" s="101"/>
      <c r="Q9" s="101"/>
      <c r="R9" s="101"/>
      <c r="S9" s="101"/>
      <c r="T9" s="101"/>
      <c r="U9" s="101"/>
      <c r="V9" s="101"/>
      <c r="W9" s="101"/>
      <c r="X9" s="101"/>
      <c r="Y9" s="101"/>
      <c r="Z9" s="101"/>
    </row>
    <row r="10" spans="1:26" ht="12.75" customHeight="1" x14ac:dyDescent="0.2">
      <c r="A10" s="101"/>
      <c r="B10" s="293"/>
      <c r="C10" s="285"/>
      <c r="D10" s="108" t="s">
        <v>179</v>
      </c>
      <c r="E10" s="109" t="s">
        <v>180</v>
      </c>
      <c r="F10" s="111" t="s">
        <v>178</v>
      </c>
      <c r="G10" s="101"/>
      <c r="H10" s="101"/>
      <c r="I10" s="101"/>
      <c r="J10" s="101"/>
      <c r="K10" s="101"/>
      <c r="L10" s="101"/>
      <c r="M10" s="101"/>
      <c r="N10" s="101"/>
      <c r="O10" s="101"/>
      <c r="P10" s="101"/>
      <c r="Q10" s="101"/>
      <c r="R10" s="101"/>
      <c r="S10" s="101"/>
      <c r="T10" s="101"/>
      <c r="U10" s="101"/>
      <c r="V10" s="101"/>
      <c r="W10" s="101"/>
      <c r="X10" s="101"/>
      <c r="Y10" s="101"/>
      <c r="Z10" s="101"/>
    </row>
    <row r="11" spans="1:26" ht="12.75" customHeight="1" x14ac:dyDescent="0.2">
      <c r="A11" s="101"/>
      <c r="B11" s="293"/>
      <c r="C11" s="284" t="s">
        <v>87</v>
      </c>
      <c r="D11" s="108" t="s">
        <v>181</v>
      </c>
      <c r="E11" s="109" t="s">
        <v>182</v>
      </c>
      <c r="F11" s="111" t="s">
        <v>178</v>
      </c>
      <c r="G11" s="101"/>
      <c r="H11" s="101"/>
      <c r="I11" s="101"/>
      <c r="J11" s="101"/>
      <c r="K11" s="101"/>
      <c r="L11" s="101"/>
      <c r="M11" s="101"/>
      <c r="N11" s="101"/>
      <c r="O11" s="101"/>
      <c r="P11" s="101"/>
      <c r="Q11" s="101"/>
      <c r="R11" s="101"/>
      <c r="S11" s="101"/>
      <c r="T11" s="101"/>
      <c r="U11" s="101"/>
      <c r="V11" s="101"/>
      <c r="W11" s="101"/>
      <c r="X11" s="101"/>
      <c r="Y11" s="101"/>
      <c r="Z11" s="101"/>
    </row>
    <row r="12" spans="1:26" ht="12.75" customHeight="1" x14ac:dyDescent="0.2">
      <c r="A12" s="101"/>
      <c r="B12" s="293"/>
      <c r="C12" s="285"/>
      <c r="D12" s="108" t="s">
        <v>183</v>
      </c>
      <c r="E12" s="109" t="s">
        <v>184</v>
      </c>
      <c r="F12" s="111" t="s">
        <v>178</v>
      </c>
      <c r="G12" s="101"/>
      <c r="H12" s="101"/>
      <c r="I12" s="101"/>
      <c r="J12" s="101"/>
      <c r="K12" s="101"/>
      <c r="L12" s="101"/>
      <c r="M12" s="101"/>
      <c r="N12" s="101"/>
      <c r="O12" s="101"/>
      <c r="P12" s="101"/>
      <c r="Q12" s="101"/>
      <c r="R12" s="101"/>
      <c r="S12" s="101"/>
      <c r="T12" s="101"/>
      <c r="U12" s="101"/>
      <c r="V12" s="101"/>
      <c r="W12" s="101"/>
      <c r="X12" s="101"/>
      <c r="Y12" s="101"/>
      <c r="Z12" s="101"/>
    </row>
    <row r="13" spans="1:26" ht="12.75" customHeight="1" x14ac:dyDescent="0.2">
      <c r="A13" s="101"/>
      <c r="B13" s="293"/>
      <c r="C13" s="284" t="s">
        <v>88</v>
      </c>
      <c r="D13" s="108" t="s">
        <v>185</v>
      </c>
      <c r="E13" s="109" t="s">
        <v>186</v>
      </c>
      <c r="F13" s="111" t="s">
        <v>178</v>
      </c>
      <c r="G13" s="101"/>
      <c r="H13" s="101"/>
      <c r="I13" s="101"/>
      <c r="J13" s="101"/>
      <c r="K13" s="101"/>
      <c r="L13" s="101"/>
      <c r="M13" s="101"/>
      <c r="N13" s="101"/>
      <c r="O13" s="101"/>
      <c r="P13" s="101"/>
      <c r="Q13" s="101"/>
      <c r="R13" s="101"/>
      <c r="S13" s="101"/>
      <c r="T13" s="101"/>
      <c r="U13" s="101"/>
      <c r="V13" s="101"/>
      <c r="W13" s="101"/>
      <c r="X13" s="101"/>
      <c r="Y13" s="101"/>
      <c r="Z13" s="101"/>
    </row>
    <row r="14" spans="1:26" ht="12.75" customHeight="1" x14ac:dyDescent="0.2">
      <c r="A14" s="101"/>
      <c r="B14" s="298"/>
      <c r="C14" s="286"/>
      <c r="D14" s="112" t="s">
        <v>187</v>
      </c>
      <c r="E14" s="113" t="s">
        <v>188</v>
      </c>
      <c r="F14" s="114" t="s">
        <v>178</v>
      </c>
      <c r="G14" s="101"/>
      <c r="H14" s="101"/>
      <c r="I14" s="101"/>
      <c r="J14" s="101"/>
      <c r="K14" s="101"/>
      <c r="L14" s="101"/>
      <c r="M14" s="101"/>
      <c r="N14" s="101"/>
      <c r="O14" s="101"/>
      <c r="P14" s="101"/>
      <c r="Q14" s="101"/>
      <c r="R14" s="101"/>
      <c r="S14" s="101"/>
      <c r="T14" s="101"/>
      <c r="U14" s="101"/>
      <c r="V14" s="101"/>
      <c r="W14" s="101"/>
      <c r="X14" s="101"/>
      <c r="Y14" s="101"/>
      <c r="Z14" s="101"/>
    </row>
    <row r="15" spans="1:26" ht="49.5" customHeight="1" x14ac:dyDescent="0.2">
      <c r="A15" s="101"/>
      <c r="B15" s="283" t="s">
        <v>189</v>
      </c>
      <c r="C15" s="148"/>
      <c r="D15" s="148"/>
      <c r="E15" s="148"/>
      <c r="F15" s="220"/>
      <c r="G15" s="101"/>
      <c r="H15" s="101"/>
      <c r="I15" s="101"/>
      <c r="J15" s="101"/>
      <c r="K15" s="101"/>
      <c r="L15" s="101"/>
      <c r="M15" s="101"/>
      <c r="N15" s="101"/>
      <c r="O15" s="101"/>
      <c r="P15" s="101"/>
      <c r="Q15" s="101"/>
      <c r="R15" s="101"/>
      <c r="S15" s="101"/>
      <c r="T15" s="101"/>
      <c r="U15" s="101"/>
      <c r="V15" s="101"/>
      <c r="W15" s="101"/>
      <c r="X15" s="101"/>
      <c r="Y15" s="101"/>
      <c r="Z15" s="101"/>
    </row>
    <row r="16" spans="1:26" ht="27" customHeight="1" x14ac:dyDescent="0.25">
      <c r="A16" s="101"/>
      <c r="B16" s="115"/>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2.75" customHeight="1" x14ac:dyDescent="0.2">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2.75" customHeight="1" x14ac:dyDescent="0.2">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2.75" customHeight="1" x14ac:dyDescent="0.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2.75" customHeight="1" x14ac:dyDescent="0.2">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2.75" customHeight="1" x14ac:dyDescent="0.2">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2.75" customHeight="1" x14ac:dyDescent="0.2">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2.75" customHeight="1" x14ac:dyDescent="0.2">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2.75" customHeight="1" x14ac:dyDescent="0.2">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2.75" customHeight="1" x14ac:dyDescent="0.2">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2.75" customHeight="1" x14ac:dyDescent="0.2">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2.75" customHeight="1" x14ac:dyDescent="0.2">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2.75" customHeight="1" x14ac:dyDescent="0.2">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2.75" customHeight="1" x14ac:dyDescent="0.2">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2.75" customHeight="1" x14ac:dyDescent="0.2">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2.75" customHeight="1" x14ac:dyDescent="0.2">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2.75" customHeight="1" x14ac:dyDescent="0.2">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2.75" customHeight="1" x14ac:dyDescent="0.2">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2.75" customHeight="1" x14ac:dyDescent="0.2">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2.75" customHeight="1" x14ac:dyDescent="0.2">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2.75" customHeight="1" x14ac:dyDescent="0.2">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2.75" customHeight="1" x14ac:dyDescent="0.2">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2.75" customHeight="1" x14ac:dyDescent="0.2">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2.75" customHeight="1" x14ac:dyDescent="0.2">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2.75" customHeight="1" x14ac:dyDescent="0.2">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2.75" customHeight="1" x14ac:dyDescent="0.2">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2.75" customHeight="1" x14ac:dyDescent="0.2">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2.75" customHeight="1" x14ac:dyDescent="0.2">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2.75" customHeight="1" x14ac:dyDescent="0.2">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2.75" customHeight="1" x14ac:dyDescent="0.2">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2.75" customHeight="1" x14ac:dyDescent="0.2">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2.75" customHeight="1" x14ac:dyDescent="0.2">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2.75" customHeight="1" x14ac:dyDescent="0.2">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2.75" customHeight="1" x14ac:dyDescent="0.2">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2.75" customHeight="1" x14ac:dyDescent="0.2">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2.75" customHeight="1" x14ac:dyDescent="0.2">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2.75" customHeight="1" x14ac:dyDescent="0.2">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2.75" customHeight="1" x14ac:dyDescent="0.2">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2.75" customHeight="1" x14ac:dyDescent="0.2">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2.75" customHeight="1" x14ac:dyDescent="0.2">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2.75" customHeight="1" x14ac:dyDescent="0.2">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2.75" customHeight="1" x14ac:dyDescent="0.2">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2.75" customHeight="1" x14ac:dyDescent="0.2">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2.75" customHeight="1" x14ac:dyDescent="0.2">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2.75" customHeight="1" x14ac:dyDescent="0.2">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2.75" customHeight="1" x14ac:dyDescent="0.2">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2.75" customHeight="1" x14ac:dyDescent="0.2">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2.7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2.75" customHeight="1" x14ac:dyDescent="0.2">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2.75" customHeight="1" x14ac:dyDescent="0.2">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2.75" customHeight="1" x14ac:dyDescent="0.2">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2.75" customHeight="1" x14ac:dyDescent="0.2">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2.75" customHeight="1" x14ac:dyDescent="0.2">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2.75" customHeight="1" x14ac:dyDescent="0.2">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2.75" customHeight="1" x14ac:dyDescent="0.2">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2.75" customHeight="1" x14ac:dyDescent="0.2">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2.75" customHeight="1" x14ac:dyDescent="0.2">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2.75" customHeight="1" x14ac:dyDescent="0.2">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2.75" customHeight="1" x14ac:dyDescent="0.2">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2.75" customHeight="1" x14ac:dyDescent="0.2">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2.75" customHeight="1" x14ac:dyDescent="0.2">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2.75" customHeight="1" x14ac:dyDescent="0.2">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2.75" customHeight="1" x14ac:dyDescent="0.2">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2.75" customHeight="1" x14ac:dyDescent="0.2">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2.75" customHeight="1" x14ac:dyDescent="0.2">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2.75" customHeight="1" x14ac:dyDescent="0.2">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2.75" customHeight="1" x14ac:dyDescent="0.2">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2.75" customHeight="1" x14ac:dyDescent="0.2">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2.75" customHeight="1" x14ac:dyDescent="0.2">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2.75" customHeight="1" x14ac:dyDescent="0.2">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2.75" customHeight="1" x14ac:dyDescent="0.2">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2.75" customHeight="1" x14ac:dyDescent="0.2">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2.75" customHeight="1" x14ac:dyDescent="0.2">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2.75" customHeight="1" x14ac:dyDescent="0.2">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2.75" customHeight="1" x14ac:dyDescent="0.2">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2.75" customHeight="1" x14ac:dyDescent="0.2">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2.75" customHeight="1" x14ac:dyDescent="0.2">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2.75" customHeight="1" x14ac:dyDescent="0.2">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2.75" customHeight="1" x14ac:dyDescent="0.2">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2.75" customHeight="1" x14ac:dyDescent="0.2">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2.75" customHeight="1" x14ac:dyDescent="0.2">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2.75" customHeight="1" x14ac:dyDescent="0.2">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2.75" customHeight="1" x14ac:dyDescent="0.2">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2.75" customHeight="1" x14ac:dyDescent="0.2">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2.75" customHeight="1" x14ac:dyDescent="0.2">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2.75" customHeight="1" x14ac:dyDescent="0.2">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2.75" customHeight="1" x14ac:dyDescent="0.2">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2.75" customHeight="1" x14ac:dyDescent="0.2">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2.7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2.7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2.75" customHeight="1" x14ac:dyDescent="0.2">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2.75" customHeight="1" x14ac:dyDescent="0.2">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2.75" customHeight="1" x14ac:dyDescent="0.2">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2.75" customHeight="1" x14ac:dyDescent="0.2">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2.75" customHeight="1" x14ac:dyDescent="0.2">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2.75" customHeight="1" x14ac:dyDescent="0.2">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2.75" customHeight="1" x14ac:dyDescent="0.2">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2.75" customHeight="1" x14ac:dyDescent="0.2">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2.75" customHeight="1" x14ac:dyDescent="0.2">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2.75" customHeight="1" x14ac:dyDescent="0.2">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2.75" customHeight="1" x14ac:dyDescent="0.2">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2.75" customHeight="1" x14ac:dyDescent="0.2">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2.75" customHeight="1" x14ac:dyDescent="0.2">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2.75" customHeight="1" x14ac:dyDescent="0.2">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2.75" customHeight="1" x14ac:dyDescent="0.2">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2.75" customHeight="1" x14ac:dyDescent="0.2">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2.75" customHeight="1" x14ac:dyDescent="0.2">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2.75" customHeight="1" x14ac:dyDescent="0.2">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2.75" customHeight="1" x14ac:dyDescent="0.2">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2.75" customHeight="1" x14ac:dyDescent="0.2">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2.75" customHeight="1" x14ac:dyDescent="0.2">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2.75" customHeight="1" x14ac:dyDescent="0.2">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2.75" customHeight="1" x14ac:dyDescent="0.2">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2.75" customHeight="1" x14ac:dyDescent="0.2">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2.75" customHeight="1" x14ac:dyDescent="0.2">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2.75" customHeight="1" x14ac:dyDescent="0.2">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2.75" customHeight="1" x14ac:dyDescent="0.2">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2.75" customHeight="1" x14ac:dyDescent="0.2">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2.75" customHeight="1" x14ac:dyDescent="0.2">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2.75" customHeight="1" x14ac:dyDescent="0.2">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2.75" customHeight="1" x14ac:dyDescent="0.2">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2.75" customHeight="1" x14ac:dyDescent="0.2">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2.75" customHeight="1" x14ac:dyDescent="0.2">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2.75" customHeight="1" x14ac:dyDescent="0.2">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2.75" customHeight="1" x14ac:dyDescent="0.2">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2.75" customHeight="1" x14ac:dyDescent="0.2">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2.75" customHeight="1" x14ac:dyDescent="0.2">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2.75" customHeight="1" x14ac:dyDescent="0.2">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2.75" customHeight="1" x14ac:dyDescent="0.2">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2.75" customHeight="1" x14ac:dyDescent="0.2">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2.75" customHeight="1" x14ac:dyDescent="0.2">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2.75" customHeight="1" x14ac:dyDescent="0.2">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2.75" customHeight="1" x14ac:dyDescent="0.2">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2.75" customHeight="1" x14ac:dyDescent="0.2">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2.75" customHeight="1" x14ac:dyDescent="0.2">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2.75" customHeight="1" x14ac:dyDescent="0.2">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2.75" customHeight="1" x14ac:dyDescent="0.2">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2.75" customHeight="1" x14ac:dyDescent="0.2">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2.75" customHeight="1" x14ac:dyDescent="0.2">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2.75" customHeight="1" x14ac:dyDescent="0.2">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2.75" customHeight="1" x14ac:dyDescent="0.2">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2.75" customHeight="1" x14ac:dyDescent="0.2">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2.75" customHeight="1" x14ac:dyDescent="0.2">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2.75" customHeight="1" x14ac:dyDescent="0.2">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2.75" customHeight="1" x14ac:dyDescent="0.2">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2.75" customHeight="1" x14ac:dyDescent="0.2">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2.75" customHeight="1" x14ac:dyDescent="0.2">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2.75" customHeight="1" x14ac:dyDescent="0.2">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2.75" customHeight="1" x14ac:dyDescent="0.2">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2.75" customHeight="1" x14ac:dyDescent="0.2">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2.75" customHeight="1" x14ac:dyDescent="0.2">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2.75" customHeight="1" x14ac:dyDescent="0.2">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2.75" customHeight="1" x14ac:dyDescent="0.2">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2.75" customHeight="1" x14ac:dyDescent="0.2">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2.75" customHeight="1" x14ac:dyDescent="0.2">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2.75" customHeight="1" x14ac:dyDescent="0.2">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2.75" customHeight="1" x14ac:dyDescent="0.2">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2.75" customHeight="1" x14ac:dyDescent="0.2">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2.75" customHeight="1" x14ac:dyDescent="0.2">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2.75" customHeight="1" x14ac:dyDescent="0.2">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2.75" customHeight="1" x14ac:dyDescent="0.2">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2.75" customHeight="1" x14ac:dyDescent="0.2">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2.75" customHeight="1" x14ac:dyDescent="0.2">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2.75" customHeight="1" x14ac:dyDescent="0.2">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2.75" customHeight="1" x14ac:dyDescent="0.2">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2.75" customHeight="1" x14ac:dyDescent="0.2">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2.75" customHeight="1" x14ac:dyDescent="0.2">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2.75" customHeight="1" x14ac:dyDescent="0.2">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2.75" customHeight="1" x14ac:dyDescent="0.2">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2.75" customHeight="1" x14ac:dyDescent="0.2">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2.75" customHeight="1" x14ac:dyDescent="0.2">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2.75" customHeight="1" x14ac:dyDescent="0.2">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2.75" customHeight="1" x14ac:dyDescent="0.2">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2.75" customHeight="1" x14ac:dyDescent="0.2">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2.75" customHeight="1" x14ac:dyDescent="0.2">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2.75" customHeight="1" x14ac:dyDescent="0.2">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2.75" customHeight="1" x14ac:dyDescent="0.2">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2.75" customHeight="1" x14ac:dyDescent="0.2">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2.75" customHeight="1" x14ac:dyDescent="0.2">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2.75" customHeight="1" x14ac:dyDescent="0.2">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2.75" customHeight="1" x14ac:dyDescent="0.2">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2.75" customHeight="1" x14ac:dyDescent="0.2">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2.75" customHeight="1" x14ac:dyDescent="0.2">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2.75" customHeight="1" x14ac:dyDescent="0.2">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2.75" customHeight="1" x14ac:dyDescent="0.2">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2.75" customHeight="1" x14ac:dyDescent="0.2">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2.75" customHeight="1" x14ac:dyDescent="0.2">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2.75" customHeight="1" x14ac:dyDescent="0.2">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2.75" customHeight="1" x14ac:dyDescent="0.2">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2.75" customHeight="1" x14ac:dyDescent="0.2">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2.75" customHeight="1" x14ac:dyDescent="0.2">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2.75" customHeight="1" x14ac:dyDescent="0.2">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2.75" customHeight="1" x14ac:dyDescent="0.2">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2.75" customHeight="1" x14ac:dyDescent="0.2">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2.75" customHeight="1" x14ac:dyDescent="0.2">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2.75" customHeight="1" x14ac:dyDescent="0.2">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2.75" customHeight="1" x14ac:dyDescent="0.2">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2.75" customHeight="1" x14ac:dyDescent="0.2">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2.75" customHeight="1" x14ac:dyDescent="0.2">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2.75" customHeight="1" x14ac:dyDescent="0.2">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2.75" customHeight="1" x14ac:dyDescent="0.2">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2.75" customHeight="1" x14ac:dyDescent="0.2">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2.75" customHeight="1" x14ac:dyDescent="0.2">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2.75" customHeight="1" x14ac:dyDescent="0.2">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2.75" customHeight="1" x14ac:dyDescent="0.2">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2.75" customHeight="1" x14ac:dyDescent="0.2">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2.75" customHeight="1" x14ac:dyDescent="0.2">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2.75" customHeight="1" x14ac:dyDescent="0.2">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2.75" customHeight="1" x14ac:dyDescent="0.2">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2.75" customHeight="1" x14ac:dyDescent="0.2">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2.75" customHeight="1" x14ac:dyDescent="0.2">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2.75" customHeight="1" x14ac:dyDescent="0.2">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2.75" customHeight="1" x14ac:dyDescent="0.2">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2.75" customHeight="1" x14ac:dyDescent="0.2">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2.75" customHeight="1" x14ac:dyDescent="0.2">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2.75" customHeight="1" x14ac:dyDescent="0.2">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2.75" customHeight="1" x14ac:dyDescent="0.2">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2.75" customHeight="1" x14ac:dyDescent="0.2">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2.75" customHeight="1" x14ac:dyDescent="0.2">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2.75" customHeight="1" x14ac:dyDescent="0.2">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2.75" customHeight="1" x14ac:dyDescent="0.2">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2.75" customHeight="1" x14ac:dyDescent="0.2">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2.75" customHeight="1" x14ac:dyDescent="0.2">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2.75" customHeight="1" x14ac:dyDescent="0.2">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2.75" customHeight="1" x14ac:dyDescent="0.2">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2.75" customHeight="1" x14ac:dyDescent="0.2">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2.75" customHeight="1" x14ac:dyDescent="0.2">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2.75" customHeight="1" x14ac:dyDescent="0.2">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2.75" customHeight="1" x14ac:dyDescent="0.2">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2.75" customHeight="1" x14ac:dyDescent="0.2">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2.75" customHeight="1" x14ac:dyDescent="0.2">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2.75" customHeight="1" x14ac:dyDescent="0.2">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2.75" customHeight="1" x14ac:dyDescent="0.2">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2.75" customHeight="1" x14ac:dyDescent="0.2">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2.75" customHeight="1" x14ac:dyDescent="0.2">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2.75" customHeight="1" x14ac:dyDescent="0.2">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2.75" customHeight="1" x14ac:dyDescent="0.2">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2.75" customHeight="1" x14ac:dyDescent="0.2">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2.75" customHeight="1" x14ac:dyDescent="0.2">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2.75" customHeight="1" x14ac:dyDescent="0.2">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2.75" customHeight="1" x14ac:dyDescent="0.2">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2.75" customHeight="1" x14ac:dyDescent="0.2">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2.75" customHeight="1" x14ac:dyDescent="0.2">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2.75" customHeight="1" x14ac:dyDescent="0.2">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2.75" customHeight="1" x14ac:dyDescent="0.2">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2.75" customHeight="1" x14ac:dyDescent="0.2">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2.75" customHeight="1" x14ac:dyDescent="0.2">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2.75" customHeight="1" x14ac:dyDescent="0.2">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2.75" customHeight="1" x14ac:dyDescent="0.2">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2.75" customHeight="1" x14ac:dyDescent="0.2">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2.75" customHeight="1" x14ac:dyDescent="0.2">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2.75" customHeight="1" x14ac:dyDescent="0.2">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2.75" customHeight="1" x14ac:dyDescent="0.2">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2.75" customHeight="1" x14ac:dyDescent="0.2">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2.75" customHeight="1" x14ac:dyDescent="0.2">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2.75" customHeight="1" x14ac:dyDescent="0.2">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2.75" customHeight="1" x14ac:dyDescent="0.2">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2.75" customHeight="1" x14ac:dyDescent="0.2">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2.75" customHeight="1" x14ac:dyDescent="0.2">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2.75" customHeight="1" x14ac:dyDescent="0.2">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2.75" customHeight="1" x14ac:dyDescent="0.2">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2.75" customHeight="1" x14ac:dyDescent="0.2">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2.75" customHeight="1" x14ac:dyDescent="0.2">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2.75" customHeight="1" x14ac:dyDescent="0.2">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2.75" customHeight="1" x14ac:dyDescent="0.2">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2.75" customHeight="1" x14ac:dyDescent="0.2">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2.75" customHeight="1" x14ac:dyDescent="0.2">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2.75" customHeight="1" x14ac:dyDescent="0.2">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2.75" customHeight="1" x14ac:dyDescent="0.2">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2.75" customHeight="1" x14ac:dyDescent="0.2">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2.75" customHeight="1" x14ac:dyDescent="0.2">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2.75" customHeight="1" x14ac:dyDescent="0.2">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2.75" customHeight="1" x14ac:dyDescent="0.2">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2.75" customHeight="1" x14ac:dyDescent="0.2">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2.75" customHeight="1" x14ac:dyDescent="0.2">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2.75" customHeight="1" x14ac:dyDescent="0.2">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2.75" customHeight="1" x14ac:dyDescent="0.2">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2.75" customHeight="1" x14ac:dyDescent="0.2">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2.75" customHeight="1" x14ac:dyDescent="0.2">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2.75" customHeight="1" x14ac:dyDescent="0.2">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2.75" customHeight="1" x14ac:dyDescent="0.2">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2.75" customHeight="1" x14ac:dyDescent="0.2">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2.75" customHeight="1" x14ac:dyDescent="0.2">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2.75" customHeight="1" x14ac:dyDescent="0.2">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2.75" customHeight="1" x14ac:dyDescent="0.2">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2.75" customHeight="1" x14ac:dyDescent="0.2">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2.75" customHeight="1" x14ac:dyDescent="0.2">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2.75" customHeight="1" x14ac:dyDescent="0.2">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2.75" customHeight="1" x14ac:dyDescent="0.2">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2.75" customHeight="1" x14ac:dyDescent="0.2">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2.75" customHeight="1" x14ac:dyDescent="0.2">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2.75" customHeight="1" x14ac:dyDescent="0.2">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2.75" customHeight="1" x14ac:dyDescent="0.2">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2.75" customHeight="1" x14ac:dyDescent="0.2">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2.75" customHeight="1" x14ac:dyDescent="0.2">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2.75" customHeight="1" x14ac:dyDescent="0.2">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2.75" customHeight="1" x14ac:dyDescent="0.2">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2.75" customHeight="1" x14ac:dyDescent="0.2">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2.75" customHeight="1" x14ac:dyDescent="0.2">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2.75" customHeight="1" x14ac:dyDescent="0.2">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2.75" customHeight="1" x14ac:dyDescent="0.2">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2.75" customHeight="1" x14ac:dyDescent="0.2">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2.75" customHeight="1" x14ac:dyDescent="0.2">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2.75" customHeight="1" x14ac:dyDescent="0.2">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2.75" customHeight="1" x14ac:dyDescent="0.2">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2.75" customHeight="1" x14ac:dyDescent="0.2">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2.75" customHeight="1" x14ac:dyDescent="0.2">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2.75" customHeight="1" x14ac:dyDescent="0.2">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2.75" customHeight="1" x14ac:dyDescent="0.2">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2.75" customHeight="1" x14ac:dyDescent="0.2">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2.75" customHeight="1" x14ac:dyDescent="0.2">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2.75" customHeight="1" x14ac:dyDescent="0.2">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2.75" customHeight="1" x14ac:dyDescent="0.2">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2.75" customHeight="1" x14ac:dyDescent="0.2">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2.75" customHeight="1" x14ac:dyDescent="0.2">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2.75" customHeight="1" x14ac:dyDescent="0.2">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2.75" customHeight="1" x14ac:dyDescent="0.2">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2.75" customHeight="1" x14ac:dyDescent="0.2">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2.75" customHeight="1" x14ac:dyDescent="0.2">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2.75" customHeight="1" x14ac:dyDescent="0.2">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2.75" customHeight="1" x14ac:dyDescent="0.2">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2.75" customHeight="1" x14ac:dyDescent="0.2">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2.75" customHeight="1" x14ac:dyDescent="0.2">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2.75" customHeight="1" x14ac:dyDescent="0.2">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2.75" customHeight="1" x14ac:dyDescent="0.2">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2.75" customHeight="1" x14ac:dyDescent="0.2">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2.75" customHeight="1" x14ac:dyDescent="0.2">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2.75" customHeight="1" x14ac:dyDescent="0.2">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2.75" customHeight="1" x14ac:dyDescent="0.2">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2.75" customHeight="1" x14ac:dyDescent="0.2">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2.75" customHeight="1" x14ac:dyDescent="0.2">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2.75" customHeight="1" x14ac:dyDescent="0.2">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2.75" customHeight="1" x14ac:dyDescent="0.2">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2.75" customHeight="1" x14ac:dyDescent="0.2">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2.75" customHeight="1" x14ac:dyDescent="0.2">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2.75" customHeight="1" x14ac:dyDescent="0.2">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2.75" customHeight="1" x14ac:dyDescent="0.2">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2.75" customHeight="1" x14ac:dyDescent="0.2">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2.75" customHeight="1" x14ac:dyDescent="0.2">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2.75" customHeight="1" x14ac:dyDescent="0.2">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2.75" customHeight="1" x14ac:dyDescent="0.2">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2.75" customHeight="1" x14ac:dyDescent="0.2">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2.75" customHeight="1" x14ac:dyDescent="0.2">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2.75" customHeight="1" x14ac:dyDescent="0.2">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2.75" customHeight="1" x14ac:dyDescent="0.2">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2.75" customHeight="1" x14ac:dyDescent="0.2">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2.75" customHeight="1" x14ac:dyDescent="0.2">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2.75" customHeight="1" x14ac:dyDescent="0.2">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2.75" customHeight="1" x14ac:dyDescent="0.2">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2.75" customHeight="1" x14ac:dyDescent="0.2">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2.75" customHeight="1" x14ac:dyDescent="0.2">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2.75" customHeight="1" x14ac:dyDescent="0.2">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2.75" customHeight="1" x14ac:dyDescent="0.2">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2.75" customHeight="1" x14ac:dyDescent="0.2">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2.75" customHeight="1" x14ac:dyDescent="0.2">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2.75" customHeight="1" x14ac:dyDescent="0.2">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2.75" customHeight="1" x14ac:dyDescent="0.2">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2.75" customHeight="1" x14ac:dyDescent="0.2">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2.75" customHeight="1" x14ac:dyDescent="0.2">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2.75" customHeight="1" x14ac:dyDescent="0.2">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2.75" customHeight="1" x14ac:dyDescent="0.2">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2.75" customHeight="1" x14ac:dyDescent="0.2">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2.75" customHeight="1" x14ac:dyDescent="0.2">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2.75" customHeight="1" x14ac:dyDescent="0.2">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2.75" customHeight="1" x14ac:dyDescent="0.2">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2.75" customHeight="1" x14ac:dyDescent="0.2">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2.75" customHeight="1" x14ac:dyDescent="0.2">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2.75" customHeight="1" x14ac:dyDescent="0.2">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2.75" customHeight="1" x14ac:dyDescent="0.2">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2.75" customHeight="1" x14ac:dyDescent="0.2">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2.75" customHeight="1" x14ac:dyDescent="0.2">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2.75" customHeight="1" x14ac:dyDescent="0.2">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2.75" customHeight="1" x14ac:dyDescent="0.2">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2.75" customHeight="1" x14ac:dyDescent="0.2">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2.75" customHeight="1" x14ac:dyDescent="0.2">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2.75" customHeight="1" x14ac:dyDescent="0.2">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2.75" customHeight="1" x14ac:dyDescent="0.2">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2.75" customHeight="1" x14ac:dyDescent="0.2">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2.75" customHeight="1" x14ac:dyDescent="0.2">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2.75" customHeight="1" x14ac:dyDescent="0.2">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2.75" customHeight="1" x14ac:dyDescent="0.2">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2.75" customHeight="1" x14ac:dyDescent="0.2">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2.75" customHeight="1" x14ac:dyDescent="0.2">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2.75" customHeight="1" x14ac:dyDescent="0.2">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2.75" customHeight="1" x14ac:dyDescent="0.2">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2.75" customHeight="1" x14ac:dyDescent="0.2">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2.75" customHeight="1" x14ac:dyDescent="0.2">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2.75" customHeight="1" x14ac:dyDescent="0.2">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2.75" customHeight="1" x14ac:dyDescent="0.2">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2.75" customHeight="1" x14ac:dyDescent="0.2">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2.75" customHeight="1" x14ac:dyDescent="0.2">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2.75" customHeight="1" x14ac:dyDescent="0.2">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2.75" customHeight="1" x14ac:dyDescent="0.2">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2.75" customHeight="1" x14ac:dyDescent="0.2">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2.75" customHeight="1" x14ac:dyDescent="0.2">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2.75" customHeight="1" x14ac:dyDescent="0.2">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2.75" customHeight="1" x14ac:dyDescent="0.2">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2.75" customHeight="1" x14ac:dyDescent="0.2">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2.75" customHeight="1" x14ac:dyDescent="0.2">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2.75" customHeight="1" x14ac:dyDescent="0.2">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2.75" customHeight="1" x14ac:dyDescent="0.2">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2.75" customHeight="1" x14ac:dyDescent="0.2">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2.75" customHeight="1" x14ac:dyDescent="0.2">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2.75" customHeight="1" x14ac:dyDescent="0.2">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2.75" customHeight="1" x14ac:dyDescent="0.2">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2.75" customHeight="1" x14ac:dyDescent="0.2">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2.75" customHeight="1" x14ac:dyDescent="0.2">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2.75" customHeight="1" x14ac:dyDescent="0.2">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2.75" customHeight="1" x14ac:dyDescent="0.2">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2.75" customHeight="1" x14ac:dyDescent="0.2">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2.75" customHeight="1" x14ac:dyDescent="0.2">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2.75" customHeight="1" x14ac:dyDescent="0.2">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2.75" customHeight="1" x14ac:dyDescent="0.2">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2.75" customHeight="1" x14ac:dyDescent="0.2">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2.75" customHeight="1" x14ac:dyDescent="0.2">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2.75" customHeight="1" x14ac:dyDescent="0.2">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2.75" customHeight="1" x14ac:dyDescent="0.2">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2.75" customHeight="1" x14ac:dyDescent="0.2">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2.75" customHeight="1" x14ac:dyDescent="0.2">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2.75" customHeight="1" x14ac:dyDescent="0.2">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2.75" customHeight="1" x14ac:dyDescent="0.2">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2.75" customHeight="1" x14ac:dyDescent="0.2">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2.75" customHeight="1" x14ac:dyDescent="0.2">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2.75" customHeight="1" x14ac:dyDescent="0.2">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2.75" customHeight="1" x14ac:dyDescent="0.2">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2.75" customHeight="1" x14ac:dyDescent="0.2">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2.75" customHeight="1" x14ac:dyDescent="0.2">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2.75" customHeight="1" x14ac:dyDescent="0.2">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2.75" customHeight="1" x14ac:dyDescent="0.2">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2.75" customHeight="1" x14ac:dyDescent="0.2">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2.75" customHeight="1" x14ac:dyDescent="0.2">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2.75" customHeight="1" x14ac:dyDescent="0.2">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2.75" customHeight="1" x14ac:dyDescent="0.2">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2.75" customHeight="1" x14ac:dyDescent="0.2">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2.75" customHeight="1" x14ac:dyDescent="0.2">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2.75" customHeight="1" x14ac:dyDescent="0.2">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2.75" customHeight="1" x14ac:dyDescent="0.2">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2.75" customHeight="1" x14ac:dyDescent="0.2">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2.75" customHeight="1" x14ac:dyDescent="0.2">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2.75" customHeight="1" x14ac:dyDescent="0.2">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2.75" customHeight="1" x14ac:dyDescent="0.2">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2.75" customHeight="1" x14ac:dyDescent="0.2">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2.75" customHeight="1" x14ac:dyDescent="0.2">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2.75" customHeight="1" x14ac:dyDescent="0.2">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2.75" customHeight="1" x14ac:dyDescent="0.2">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2.75" customHeight="1" x14ac:dyDescent="0.2">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2.75" customHeight="1" x14ac:dyDescent="0.2">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2.75" customHeight="1" x14ac:dyDescent="0.2">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2.75" customHeight="1" x14ac:dyDescent="0.2">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2.75" customHeight="1" x14ac:dyDescent="0.2">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2.75" customHeight="1" x14ac:dyDescent="0.2">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2.75" customHeight="1" x14ac:dyDescent="0.2">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2.75" customHeight="1" x14ac:dyDescent="0.2">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2.75" customHeight="1" x14ac:dyDescent="0.2">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2.75" customHeight="1" x14ac:dyDescent="0.2">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2.75" customHeight="1" x14ac:dyDescent="0.2">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2.75" customHeight="1" x14ac:dyDescent="0.2">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2.75" customHeight="1" x14ac:dyDescent="0.2">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2.75" customHeight="1" x14ac:dyDescent="0.2">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2.75" customHeight="1" x14ac:dyDescent="0.2">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2.75" customHeight="1" x14ac:dyDescent="0.2">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2.75" customHeight="1" x14ac:dyDescent="0.2">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2.75" customHeight="1" x14ac:dyDescent="0.2">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2.75" customHeight="1" x14ac:dyDescent="0.2">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2.75" customHeight="1" x14ac:dyDescent="0.2">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2.75" customHeight="1" x14ac:dyDescent="0.2">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2.75" customHeight="1" x14ac:dyDescent="0.2">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2.75" customHeight="1" x14ac:dyDescent="0.2">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2.75" customHeight="1" x14ac:dyDescent="0.2">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2.75" customHeight="1" x14ac:dyDescent="0.2">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2.75" customHeight="1" x14ac:dyDescent="0.2">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2.75" customHeight="1" x14ac:dyDescent="0.2">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2.75" customHeight="1" x14ac:dyDescent="0.2">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2.75" customHeight="1" x14ac:dyDescent="0.2">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2.75" customHeight="1" x14ac:dyDescent="0.2">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2.75" customHeight="1" x14ac:dyDescent="0.2">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2.75" customHeight="1" x14ac:dyDescent="0.2">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2.75" customHeight="1" x14ac:dyDescent="0.2">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2.75" customHeight="1" x14ac:dyDescent="0.2">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2.75" customHeight="1" x14ac:dyDescent="0.2">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2.75" customHeight="1" x14ac:dyDescent="0.2">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2.75" customHeight="1" x14ac:dyDescent="0.2">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2.75" customHeight="1" x14ac:dyDescent="0.2">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2.75" customHeight="1" x14ac:dyDescent="0.2">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2.75" customHeight="1" x14ac:dyDescent="0.2">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2.75" customHeight="1" x14ac:dyDescent="0.2">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2.75" customHeight="1" x14ac:dyDescent="0.2">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2.75" customHeight="1" x14ac:dyDescent="0.2">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2.75" customHeight="1" x14ac:dyDescent="0.2">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2.75" customHeight="1" x14ac:dyDescent="0.2">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2.75" customHeight="1" x14ac:dyDescent="0.2">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2.75" customHeight="1" x14ac:dyDescent="0.2">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2.75" customHeight="1" x14ac:dyDescent="0.2">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2.75" customHeight="1" x14ac:dyDescent="0.2">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2.75" customHeight="1" x14ac:dyDescent="0.2">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2.75" customHeight="1" x14ac:dyDescent="0.2">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2.75" customHeight="1" x14ac:dyDescent="0.2">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2.75" customHeight="1" x14ac:dyDescent="0.2">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2.75" customHeight="1" x14ac:dyDescent="0.2">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2.75" customHeight="1" x14ac:dyDescent="0.2">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2.75" customHeight="1" x14ac:dyDescent="0.2">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2.75" customHeight="1" x14ac:dyDescent="0.2">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2.75" customHeight="1" x14ac:dyDescent="0.2">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2.75" customHeight="1" x14ac:dyDescent="0.2">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2.75" customHeight="1" x14ac:dyDescent="0.2">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2.75" customHeight="1" x14ac:dyDescent="0.2">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2.75" customHeight="1" x14ac:dyDescent="0.2">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2.75" customHeight="1" x14ac:dyDescent="0.2">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2.75" customHeight="1" x14ac:dyDescent="0.2">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2.75" customHeight="1" x14ac:dyDescent="0.2">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2.75" customHeight="1" x14ac:dyDescent="0.2">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2.75" customHeight="1" x14ac:dyDescent="0.2">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2.75" customHeight="1" x14ac:dyDescent="0.2">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2.75" customHeight="1" x14ac:dyDescent="0.2">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2.75" customHeight="1" x14ac:dyDescent="0.2">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2.75" customHeight="1" x14ac:dyDescent="0.2">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2.75" customHeight="1" x14ac:dyDescent="0.2">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2.75" customHeight="1" x14ac:dyDescent="0.2">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2.75" customHeight="1" x14ac:dyDescent="0.2">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2.75" customHeight="1" x14ac:dyDescent="0.2">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2.75" customHeight="1" x14ac:dyDescent="0.2">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2.75" customHeight="1" x14ac:dyDescent="0.2">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2.75" customHeight="1" x14ac:dyDescent="0.2">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2.75" customHeight="1" x14ac:dyDescent="0.2">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2.75" customHeight="1" x14ac:dyDescent="0.2">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2.75" customHeight="1" x14ac:dyDescent="0.2">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2.75" customHeight="1" x14ac:dyDescent="0.2">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2.75" customHeight="1" x14ac:dyDescent="0.2">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2.75" customHeight="1" x14ac:dyDescent="0.2">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2.75" customHeight="1" x14ac:dyDescent="0.2">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2.75" customHeight="1" x14ac:dyDescent="0.2">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2.75" customHeight="1" x14ac:dyDescent="0.2">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2.75" customHeight="1" x14ac:dyDescent="0.2">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2.75" customHeight="1" x14ac:dyDescent="0.2">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2.75" customHeight="1" x14ac:dyDescent="0.2">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2.75" customHeight="1" x14ac:dyDescent="0.2">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2.75" customHeight="1" x14ac:dyDescent="0.2">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2.75" customHeight="1" x14ac:dyDescent="0.2">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2.75" customHeight="1" x14ac:dyDescent="0.2">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2.75" customHeight="1" x14ac:dyDescent="0.2">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2.75" customHeight="1" x14ac:dyDescent="0.2">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2.75" customHeight="1" x14ac:dyDescent="0.2">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2.75" customHeight="1" x14ac:dyDescent="0.2">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2.75" customHeight="1" x14ac:dyDescent="0.2">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2.75" customHeight="1" x14ac:dyDescent="0.2">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2.75" customHeight="1" x14ac:dyDescent="0.2">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2.75" customHeight="1" x14ac:dyDescent="0.2">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2.75" customHeight="1" x14ac:dyDescent="0.2">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2.75" customHeight="1" x14ac:dyDescent="0.2">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2.75" customHeight="1" x14ac:dyDescent="0.2">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2.75" customHeight="1" x14ac:dyDescent="0.2">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2.75" customHeight="1" x14ac:dyDescent="0.2">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2.75" customHeight="1" x14ac:dyDescent="0.2">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2.75" customHeight="1" x14ac:dyDescent="0.2">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2.75" customHeight="1" x14ac:dyDescent="0.2">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2.75" customHeight="1" x14ac:dyDescent="0.2">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2.75" customHeight="1" x14ac:dyDescent="0.2">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2.75" customHeight="1" x14ac:dyDescent="0.2">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2.75" customHeight="1" x14ac:dyDescent="0.2">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2.75" customHeight="1" x14ac:dyDescent="0.2">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2.75" customHeight="1" x14ac:dyDescent="0.2">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2.75" customHeight="1" x14ac:dyDescent="0.2">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2.75" customHeight="1" x14ac:dyDescent="0.2">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2.75" customHeight="1" x14ac:dyDescent="0.2">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2.75" customHeight="1" x14ac:dyDescent="0.2">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2.75" customHeight="1" x14ac:dyDescent="0.2">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2.75" customHeight="1" x14ac:dyDescent="0.2">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2.75" customHeight="1" x14ac:dyDescent="0.2">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2.75" customHeight="1" x14ac:dyDescent="0.2">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2.75" customHeight="1" x14ac:dyDescent="0.2">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2.75" customHeight="1" x14ac:dyDescent="0.2">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2.75" customHeight="1" x14ac:dyDescent="0.2">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2.75" customHeight="1" x14ac:dyDescent="0.2">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2.75" customHeight="1" x14ac:dyDescent="0.2">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2.75" customHeight="1" x14ac:dyDescent="0.2">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2.75" customHeight="1" x14ac:dyDescent="0.2">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2.75" customHeight="1" x14ac:dyDescent="0.2">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2.75" customHeight="1" x14ac:dyDescent="0.2">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2.75" customHeight="1" x14ac:dyDescent="0.2">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2.75" customHeight="1" x14ac:dyDescent="0.2">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2.75" customHeight="1" x14ac:dyDescent="0.2">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2.75" customHeight="1" x14ac:dyDescent="0.2">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2.75" customHeight="1" x14ac:dyDescent="0.2">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2.75" customHeight="1" x14ac:dyDescent="0.2">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2.75" customHeight="1" x14ac:dyDescent="0.2">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2.75" customHeight="1" x14ac:dyDescent="0.2">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2.75" customHeight="1" x14ac:dyDescent="0.2">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2.75" customHeight="1" x14ac:dyDescent="0.2">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2.75" customHeight="1" x14ac:dyDescent="0.2">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2.75" customHeight="1" x14ac:dyDescent="0.2">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2.75" customHeight="1" x14ac:dyDescent="0.2">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2.75" customHeight="1" x14ac:dyDescent="0.2">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2.75" customHeight="1" x14ac:dyDescent="0.2">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2.75" customHeight="1" x14ac:dyDescent="0.2">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2.75" customHeight="1" x14ac:dyDescent="0.2">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2.75" customHeight="1" x14ac:dyDescent="0.2">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2.75" customHeight="1" x14ac:dyDescent="0.2">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2.75" customHeight="1" x14ac:dyDescent="0.2">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2.75" customHeight="1" x14ac:dyDescent="0.2">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2.75" customHeight="1" x14ac:dyDescent="0.2">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2.75" customHeight="1" x14ac:dyDescent="0.2">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2.75" customHeight="1" x14ac:dyDescent="0.2">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2.75" customHeight="1" x14ac:dyDescent="0.2">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2.75" customHeight="1" x14ac:dyDescent="0.2">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2.75" customHeight="1" x14ac:dyDescent="0.2">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2.75" customHeight="1" x14ac:dyDescent="0.2">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2.75" customHeight="1" x14ac:dyDescent="0.2">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2.75" customHeight="1" x14ac:dyDescent="0.2">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2.75" customHeight="1" x14ac:dyDescent="0.2">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2.75" customHeight="1" x14ac:dyDescent="0.2">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2.75" customHeight="1" x14ac:dyDescent="0.2">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2.75" customHeight="1" x14ac:dyDescent="0.2">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2.75" customHeight="1" x14ac:dyDescent="0.2">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2.75" customHeight="1" x14ac:dyDescent="0.2">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2.75" customHeight="1" x14ac:dyDescent="0.2">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2.75" customHeight="1" x14ac:dyDescent="0.2">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2.75" customHeight="1" x14ac:dyDescent="0.2">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2.75" customHeight="1" x14ac:dyDescent="0.2">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2.75" customHeight="1" x14ac:dyDescent="0.2">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2.75" customHeight="1" x14ac:dyDescent="0.2">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2.75" customHeight="1" x14ac:dyDescent="0.2">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2.75" customHeight="1" x14ac:dyDescent="0.2">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2.75" customHeight="1" x14ac:dyDescent="0.2">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2.75" customHeight="1" x14ac:dyDescent="0.2">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2.75" customHeight="1" x14ac:dyDescent="0.2">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2.75" customHeight="1" x14ac:dyDescent="0.2">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2.75" customHeight="1" x14ac:dyDescent="0.2">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2.75" customHeight="1" x14ac:dyDescent="0.2">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2.75" customHeight="1" x14ac:dyDescent="0.2">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2.75" customHeight="1" x14ac:dyDescent="0.2">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2.75" customHeight="1" x14ac:dyDescent="0.2">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2.75" customHeight="1" x14ac:dyDescent="0.2">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2.75" customHeight="1" x14ac:dyDescent="0.2">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2.75" customHeight="1" x14ac:dyDescent="0.2">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2.75" customHeight="1" x14ac:dyDescent="0.2">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2.75" customHeight="1" x14ac:dyDescent="0.2">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2.75" customHeight="1" x14ac:dyDescent="0.2">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2.75" customHeight="1" x14ac:dyDescent="0.2">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2.75" customHeight="1" x14ac:dyDescent="0.2">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2.75" customHeight="1" x14ac:dyDescent="0.2">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2.75" customHeight="1" x14ac:dyDescent="0.2">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2.75" customHeight="1" x14ac:dyDescent="0.2">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2.75" customHeight="1" x14ac:dyDescent="0.2">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2.75" customHeight="1" x14ac:dyDescent="0.2">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2.75" customHeight="1" x14ac:dyDescent="0.2">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2.75" customHeight="1" x14ac:dyDescent="0.2">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2.75" customHeight="1" x14ac:dyDescent="0.2">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2.75" customHeight="1" x14ac:dyDescent="0.2">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2.75" customHeight="1" x14ac:dyDescent="0.2">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2.75" customHeight="1" x14ac:dyDescent="0.2">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2.75" customHeight="1" x14ac:dyDescent="0.2">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2.75" customHeight="1" x14ac:dyDescent="0.2">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2.75" customHeight="1" x14ac:dyDescent="0.2">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2.75" customHeight="1" x14ac:dyDescent="0.2">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2.75" customHeight="1" x14ac:dyDescent="0.2">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2.75" customHeight="1" x14ac:dyDescent="0.2">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2.75" customHeight="1" x14ac:dyDescent="0.2">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2.75" customHeight="1" x14ac:dyDescent="0.2">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2.75" customHeight="1" x14ac:dyDescent="0.2">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2.75" customHeight="1" x14ac:dyDescent="0.2">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2.75" customHeight="1" x14ac:dyDescent="0.2">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2.75" customHeight="1" x14ac:dyDescent="0.2">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2.75" customHeight="1" x14ac:dyDescent="0.2">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2.75" customHeight="1" x14ac:dyDescent="0.2">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2.75" customHeight="1" x14ac:dyDescent="0.2">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2.75" customHeight="1" x14ac:dyDescent="0.2">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2.75" customHeight="1" x14ac:dyDescent="0.2">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2.75" customHeight="1" x14ac:dyDescent="0.2">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2.75" customHeight="1" x14ac:dyDescent="0.2">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2.75" customHeight="1" x14ac:dyDescent="0.2">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2.75" customHeight="1" x14ac:dyDescent="0.2">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2.75" customHeight="1" x14ac:dyDescent="0.2">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2.75" customHeight="1" x14ac:dyDescent="0.2">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2.75" customHeight="1" x14ac:dyDescent="0.2">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2.75" customHeight="1" x14ac:dyDescent="0.2">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2.75" customHeight="1" x14ac:dyDescent="0.2">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2.75" customHeight="1" x14ac:dyDescent="0.2">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2.75" customHeight="1" x14ac:dyDescent="0.2">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2.75" customHeight="1" x14ac:dyDescent="0.2">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2.75" customHeight="1" x14ac:dyDescent="0.2">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2.75" customHeight="1" x14ac:dyDescent="0.2">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2.75" customHeight="1" x14ac:dyDescent="0.2">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2.75" customHeight="1" x14ac:dyDescent="0.2">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2.75" customHeight="1" x14ac:dyDescent="0.2">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2.75" customHeight="1" x14ac:dyDescent="0.2">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2.75" customHeight="1" x14ac:dyDescent="0.2">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2.75" customHeight="1" x14ac:dyDescent="0.2">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2.75" customHeight="1" x14ac:dyDescent="0.2">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2.75" customHeight="1" x14ac:dyDescent="0.2">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2.75" customHeight="1" x14ac:dyDescent="0.2">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2.75" customHeight="1" x14ac:dyDescent="0.2">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2.75" customHeight="1" x14ac:dyDescent="0.2">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2.75" customHeight="1" x14ac:dyDescent="0.2">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2.75" customHeight="1" x14ac:dyDescent="0.2">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2.75" customHeight="1" x14ac:dyDescent="0.2">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2.75" customHeight="1" x14ac:dyDescent="0.2">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2.75" customHeight="1" x14ac:dyDescent="0.2">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2.75" customHeight="1" x14ac:dyDescent="0.2">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2.75" customHeight="1" x14ac:dyDescent="0.2">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2.75" customHeight="1" x14ac:dyDescent="0.2">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2.75" customHeight="1" x14ac:dyDescent="0.2">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2.75" customHeight="1" x14ac:dyDescent="0.2">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2.75" customHeight="1" x14ac:dyDescent="0.2">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2.75" customHeight="1" x14ac:dyDescent="0.2">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2.75" customHeight="1" x14ac:dyDescent="0.2">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2.75" customHeight="1" x14ac:dyDescent="0.2">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2.75" customHeight="1" x14ac:dyDescent="0.2">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2.75" customHeight="1" x14ac:dyDescent="0.2">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2.75" customHeight="1" x14ac:dyDescent="0.2">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2.75" customHeight="1" x14ac:dyDescent="0.2">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2.75" customHeight="1" x14ac:dyDescent="0.2">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2.75" customHeight="1" x14ac:dyDescent="0.2">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2.75" customHeight="1" x14ac:dyDescent="0.2">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2.75" customHeight="1" x14ac:dyDescent="0.2">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2.75" customHeight="1" x14ac:dyDescent="0.2">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2.75" customHeight="1" x14ac:dyDescent="0.2">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2.75" customHeight="1" x14ac:dyDescent="0.2">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2.75" customHeight="1" x14ac:dyDescent="0.2">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2.75" customHeight="1" x14ac:dyDescent="0.2">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2.75" customHeight="1" x14ac:dyDescent="0.2">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2.75" customHeight="1" x14ac:dyDescent="0.2">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2.75" customHeight="1" x14ac:dyDescent="0.2">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2.75" customHeight="1" x14ac:dyDescent="0.2">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2.75" customHeight="1" x14ac:dyDescent="0.2">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2.75" customHeight="1" x14ac:dyDescent="0.2">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2.75" customHeight="1" x14ac:dyDescent="0.2">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2.75" customHeight="1" x14ac:dyDescent="0.2">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2.75" customHeight="1" x14ac:dyDescent="0.2">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2.75" customHeight="1" x14ac:dyDescent="0.2">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2.75" customHeight="1" x14ac:dyDescent="0.2">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2.75" customHeight="1" x14ac:dyDescent="0.2">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2.75" customHeight="1" x14ac:dyDescent="0.2">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2.75" customHeight="1" x14ac:dyDescent="0.2">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2.75" customHeight="1" x14ac:dyDescent="0.2">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2.75" customHeight="1" x14ac:dyDescent="0.2">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2.75" customHeight="1" x14ac:dyDescent="0.2">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2.75" customHeight="1" x14ac:dyDescent="0.2">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2.75" customHeight="1" x14ac:dyDescent="0.2">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2.75" customHeight="1" x14ac:dyDescent="0.2">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2.75" customHeight="1" x14ac:dyDescent="0.2">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2.75" customHeight="1" x14ac:dyDescent="0.2">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2.75" customHeight="1" x14ac:dyDescent="0.2">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2.75" customHeight="1" x14ac:dyDescent="0.2">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2.75" customHeight="1" x14ac:dyDescent="0.2">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2.75" customHeight="1" x14ac:dyDescent="0.2">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2.75" customHeight="1" x14ac:dyDescent="0.2">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2.75" customHeight="1" x14ac:dyDescent="0.2">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2.75" customHeight="1" x14ac:dyDescent="0.2">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2.75" customHeight="1" x14ac:dyDescent="0.2">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2.75" customHeight="1" x14ac:dyDescent="0.2">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2.75" customHeight="1" x14ac:dyDescent="0.2">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2.75" customHeight="1" x14ac:dyDescent="0.2">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2.75" customHeight="1" x14ac:dyDescent="0.2">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2.75" customHeight="1" x14ac:dyDescent="0.2">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2.75" customHeight="1" x14ac:dyDescent="0.2">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2.75" customHeight="1" x14ac:dyDescent="0.2">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2.75" customHeight="1" x14ac:dyDescent="0.2">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2.75" customHeight="1" x14ac:dyDescent="0.2">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2.75" customHeight="1" x14ac:dyDescent="0.2">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2.75" customHeight="1" x14ac:dyDescent="0.2">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2.75" customHeight="1" x14ac:dyDescent="0.2">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2.75" customHeight="1" x14ac:dyDescent="0.2">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2.75" customHeight="1" x14ac:dyDescent="0.2">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2.75" customHeight="1" x14ac:dyDescent="0.2">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2.75" customHeight="1" x14ac:dyDescent="0.2">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2.75" customHeight="1" x14ac:dyDescent="0.2">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2.75" customHeight="1" x14ac:dyDescent="0.2">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2.75" customHeight="1" x14ac:dyDescent="0.2">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2.75" customHeight="1" x14ac:dyDescent="0.2">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2.75" customHeight="1" x14ac:dyDescent="0.2">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2.75" customHeight="1" x14ac:dyDescent="0.2">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2.75" customHeight="1" x14ac:dyDescent="0.2">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2.75" customHeight="1" x14ac:dyDescent="0.2">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2.75" customHeight="1" x14ac:dyDescent="0.2">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2.75" customHeight="1" x14ac:dyDescent="0.2">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2.75" customHeight="1" x14ac:dyDescent="0.2">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2.75" customHeight="1" x14ac:dyDescent="0.2">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2.75" customHeight="1" x14ac:dyDescent="0.2">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2.75" customHeight="1" x14ac:dyDescent="0.2">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2.75" customHeight="1" x14ac:dyDescent="0.2">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2.75" customHeight="1" x14ac:dyDescent="0.2">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2.75" customHeight="1" x14ac:dyDescent="0.2">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2.75" customHeight="1" x14ac:dyDescent="0.2">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2.75" customHeight="1" x14ac:dyDescent="0.2">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2.75" customHeight="1" x14ac:dyDescent="0.2">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2.75" customHeight="1" x14ac:dyDescent="0.2">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2.75" customHeight="1" x14ac:dyDescent="0.2">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2.75" customHeight="1" x14ac:dyDescent="0.2">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2.75" customHeight="1" x14ac:dyDescent="0.2">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2.75" customHeight="1" x14ac:dyDescent="0.2">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2.75" customHeight="1" x14ac:dyDescent="0.2">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2.75" customHeight="1" x14ac:dyDescent="0.2">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2.75" customHeight="1" x14ac:dyDescent="0.2">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2.75" customHeight="1" x14ac:dyDescent="0.2">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2.75" customHeight="1" x14ac:dyDescent="0.2">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2.75" customHeight="1" x14ac:dyDescent="0.2">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2.75" customHeight="1" x14ac:dyDescent="0.2">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2.75" customHeight="1" x14ac:dyDescent="0.2">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2.75" customHeight="1" x14ac:dyDescent="0.2">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2.75" customHeight="1" x14ac:dyDescent="0.2">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2.75" customHeight="1" x14ac:dyDescent="0.2">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2.75" customHeight="1" x14ac:dyDescent="0.2">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2.75" customHeight="1" x14ac:dyDescent="0.2">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2.75" customHeight="1" x14ac:dyDescent="0.2">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2.75" customHeight="1" x14ac:dyDescent="0.2">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2.75" customHeight="1" x14ac:dyDescent="0.2">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2.75" customHeight="1" x14ac:dyDescent="0.2">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2.75" customHeight="1" x14ac:dyDescent="0.2">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2.75" customHeight="1" x14ac:dyDescent="0.2">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2.75" customHeight="1" x14ac:dyDescent="0.2">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2.75" customHeight="1" x14ac:dyDescent="0.2">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2.75" customHeight="1" x14ac:dyDescent="0.2">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2.75" customHeight="1" x14ac:dyDescent="0.2">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2.75" customHeight="1" x14ac:dyDescent="0.2">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2.75" customHeight="1" x14ac:dyDescent="0.2">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2.75" customHeight="1" x14ac:dyDescent="0.2">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2.75" customHeight="1" x14ac:dyDescent="0.2">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2.75" customHeight="1" x14ac:dyDescent="0.2">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2.75" customHeight="1" x14ac:dyDescent="0.2">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2.75" customHeight="1" x14ac:dyDescent="0.2">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2.75" customHeight="1" x14ac:dyDescent="0.2">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2.75" customHeight="1" x14ac:dyDescent="0.2">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2.75" customHeight="1" x14ac:dyDescent="0.2">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2.75" customHeight="1" x14ac:dyDescent="0.2">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2.75" customHeight="1" x14ac:dyDescent="0.2">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2.75" customHeight="1" x14ac:dyDescent="0.2">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2.75" customHeight="1" x14ac:dyDescent="0.2">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2.75" customHeight="1" x14ac:dyDescent="0.2">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2.75" customHeight="1" x14ac:dyDescent="0.2">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2.75" customHeight="1" x14ac:dyDescent="0.2">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2.75" customHeight="1" x14ac:dyDescent="0.2">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2.75" customHeight="1" x14ac:dyDescent="0.2">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2.75" customHeight="1" x14ac:dyDescent="0.2">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2.75" customHeight="1" x14ac:dyDescent="0.2">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2.75" customHeight="1" x14ac:dyDescent="0.2">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2.75" customHeight="1" x14ac:dyDescent="0.2">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2.75" customHeight="1" x14ac:dyDescent="0.2">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2.75" customHeight="1" x14ac:dyDescent="0.2">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2.75" customHeight="1" x14ac:dyDescent="0.2">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2.75" customHeight="1" x14ac:dyDescent="0.2">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2.75" customHeight="1" x14ac:dyDescent="0.2">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2.75" customHeight="1" x14ac:dyDescent="0.2">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2.75" customHeight="1" x14ac:dyDescent="0.2">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2.75" customHeight="1" x14ac:dyDescent="0.2">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2.75" customHeight="1" x14ac:dyDescent="0.2">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2.75" customHeight="1" x14ac:dyDescent="0.2">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2.75" customHeight="1" x14ac:dyDescent="0.2">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2.75" customHeight="1" x14ac:dyDescent="0.2">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2.75" customHeight="1" x14ac:dyDescent="0.2">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2.75" customHeight="1" x14ac:dyDescent="0.2">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2.75" customHeight="1" x14ac:dyDescent="0.2">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2.75" customHeight="1" x14ac:dyDescent="0.2">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2.75" customHeight="1" x14ac:dyDescent="0.2">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2.75" customHeight="1" x14ac:dyDescent="0.2">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2.75" customHeight="1" x14ac:dyDescent="0.2">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2.75" customHeight="1" x14ac:dyDescent="0.2">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2.75" customHeight="1" x14ac:dyDescent="0.2">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2.75" customHeight="1" x14ac:dyDescent="0.2">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2.75" customHeight="1" x14ac:dyDescent="0.2">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2.75" customHeight="1" x14ac:dyDescent="0.2">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2.75" customHeight="1" x14ac:dyDescent="0.2">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2.75" customHeight="1" x14ac:dyDescent="0.2">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2.75" customHeight="1" x14ac:dyDescent="0.2">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2.75" customHeight="1" x14ac:dyDescent="0.2">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2.75" customHeight="1" x14ac:dyDescent="0.2">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2.75" customHeight="1" x14ac:dyDescent="0.2">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2.75" customHeight="1" x14ac:dyDescent="0.2">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2.75" customHeight="1" x14ac:dyDescent="0.2">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2.75" customHeight="1" x14ac:dyDescent="0.2">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2.75" customHeight="1" x14ac:dyDescent="0.2">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2.75" customHeight="1" x14ac:dyDescent="0.2">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2.75" customHeight="1" x14ac:dyDescent="0.2">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2.75" customHeight="1" x14ac:dyDescent="0.2">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2.75" customHeight="1" x14ac:dyDescent="0.2">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2.75" customHeight="1" x14ac:dyDescent="0.2">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2.75" customHeight="1" x14ac:dyDescent="0.2">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2.75" customHeight="1" x14ac:dyDescent="0.2">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2.75" customHeight="1" x14ac:dyDescent="0.2">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2.75" customHeight="1" x14ac:dyDescent="0.2">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2.75" customHeight="1" x14ac:dyDescent="0.2">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2.75" customHeight="1" x14ac:dyDescent="0.2">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2.75" customHeight="1" x14ac:dyDescent="0.2">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2.75" customHeight="1" x14ac:dyDescent="0.2">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2.75" customHeight="1" x14ac:dyDescent="0.2">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2.75" customHeight="1" x14ac:dyDescent="0.2">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2.75" customHeight="1" x14ac:dyDescent="0.2">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2.75" customHeight="1" x14ac:dyDescent="0.2">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2.75" customHeight="1" x14ac:dyDescent="0.2">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2.75" customHeight="1" x14ac:dyDescent="0.2">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2.75" customHeight="1" x14ac:dyDescent="0.2">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2.75" customHeight="1" x14ac:dyDescent="0.2">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2.75" customHeight="1" x14ac:dyDescent="0.2">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2.75" customHeight="1" x14ac:dyDescent="0.2">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2.75" customHeight="1" x14ac:dyDescent="0.2">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2.75" customHeight="1" x14ac:dyDescent="0.2">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2.75" customHeight="1" x14ac:dyDescent="0.2">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2.75" customHeight="1" x14ac:dyDescent="0.2">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2.75" customHeight="1" x14ac:dyDescent="0.2">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2.75" customHeight="1" x14ac:dyDescent="0.2">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2.75" customHeight="1" x14ac:dyDescent="0.2">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2.75" customHeight="1" x14ac:dyDescent="0.2">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2.75" customHeight="1" x14ac:dyDescent="0.2">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2.75" customHeight="1" x14ac:dyDescent="0.2">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2.75" customHeight="1" x14ac:dyDescent="0.2">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2.75" customHeight="1" x14ac:dyDescent="0.2">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2.75" customHeight="1" x14ac:dyDescent="0.2">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2.75" customHeight="1" x14ac:dyDescent="0.2">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2.75" customHeight="1" x14ac:dyDescent="0.2">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2.75" customHeight="1" x14ac:dyDescent="0.2">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2.75" customHeight="1" x14ac:dyDescent="0.2">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2.75" customHeight="1" x14ac:dyDescent="0.2">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2.75" customHeight="1" x14ac:dyDescent="0.2">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2.75" customHeight="1" x14ac:dyDescent="0.2">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2.75" customHeight="1" x14ac:dyDescent="0.2">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2.75" customHeight="1" x14ac:dyDescent="0.2">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2.75" customHeight="1" x14ac:dyDescent="0.2">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2.75" customHeight="1" x14ac:dyDescent="0.2">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2.75" customHeight="1" x14ac:dyDescent="0.2">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2.75" customHeight="1" x14ac:dyDescent="0.2">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2.75" customHeight="1" x14ac:dyDescent="0.2">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2.75" customHeight="1" x14ac:dyDescent="0.2">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2.75" customHeight="1" x14ac:dyDescent="0.2">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2.75" customHeight="1" x14ac:dyDescent="0.2">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2.75" customHeight="1" x14ac:dyDescent="0.2">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2.75" customHeight="1" x14ac:dyDescent="0.2">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2.75" customHeight="1" x14ac:dyDescent="0.2">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2.75" customHeight="1" x14ac:dyDescent="0.2">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2.75" customHeight="1" x14ac:dyDescent="0.2">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2.75" customHeight="1" x14ac:dyDescent="0.2">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2.75" customHeight="1" x14ac:dyDescent="0.2">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2.75" customHeight="1" x14ac:dyDescent="0.2">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2.75" customHeight="1" x14ac:dyDescent="0.2">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2.75" customHeight="1" x14ac:dyDescent="0.2">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2.75" customHeight="1" x14ac:dyDescent="0.2">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2.75" customHeight="1" x14ac:dyDescent="0.2">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2.75" customHeight="1" x14ac:dyDescent="0.2">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2.75" customHeight="1" x14ac:dyDescent="0.2">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2.75" customHeight="1" x14ac:dyDescent="0.2">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2.75" customHeight="1" x14ac:dyDescent="0.2">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2.75" customHeight="1" x14ac:dyDescent="0.2">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2.75" customHeight="1" x14ac:dyDescent="0.2">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2.75" customHeight="1" x14ac:dyDescent="0.2">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2.75" customHeight="1" x14ac:dyDescent="0.2">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2.75" customHeight="1" x14ac:dyDescent="0.2">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2.75" customHeight="1" x14ac:dyDescent="0.2">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2.75" customHeight="1" x14ac:dyDescent="0.2">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2.75" customHeight="1" x14ac:dyDescent="0.2">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2.75" customHeight="1" x14ac:dyDescent="0.2">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2.75" customHeight="1" x14ac:dyDescent="0.2">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2.75" customHeight="1" x14ac:dyDescent="0.2">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2.75" customHeight="1" x14ac:dyDescent="0.2">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2.75" customHeight="1" x14ac:dyDescent="0.2">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2.75" customHeight="1" x14ac:dyDescent="0.2">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2.75" customHeight="1" x14ac:dyDescent="0.2">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2.75" customHeight="1" x14ac:dyDescent="0.2">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2.75" customHeight="1" x14ac:dyDescent="0.2">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2.75" customHeight="1" x14ac:dyDescent="0.2">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2.75" customHeight="1" x14ac:dyDescent="0.2">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2.75" customHeight="1" x14ac:dyDescent="0.2">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2.75" customHeight="1" x14ac:dyDescent="0.2">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2.75" customHeight="1" x14ac:dyDescent="0.2">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2.75" customHeight="1" x14ac:dyDescent="0.2">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2.75" customHeight="1" x14ac:dyDescent="0.2">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2.75" customHeight="1" x14ac:dyDescent="0.2">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2.75" customHeight="1" x14ac:dyDescent="0.2">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2.75" customHeight="1" x14ac:dyDescent="0.2">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2.75" customHeight="1" x14ac:dyDescent="0.2">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2.75" customHeight="1" x14ac:dyDescent="0.2">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2.75" customHeight="1" x14ac:dyDescent="0.2">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2.75" customHeight="1" x14ac:dyDescent="0.2">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2.75" customHeight="1" x14ac:dyDescent="0.2">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2.75" customHeight="1" x14ac:dyDescent="0.2">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2.75" customHeight="1" x14ac:dyDescent="0.2">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2.75" customHeight="1" x14ac:dyDescent="0.2">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2.75" customHeight="1" x14ac:dyDescent="0.2">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2.75" customHeight="1" x14ac:dyDescent="0.2">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2.75" customHeight="1" x14ac:dyDescent="0.2">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2.75" customHeight="1" x14ac:dyDescent="0.2">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2.75" customHeight="1" x14ac:dyDescent="0.2">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2.75" customHeight="1" x14ac:dyDescent="0.2">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2.75" customHeight="1" x14ac:dyDescent="0.2">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2.75" customHeight="1" x14ac:dyDescent="0.2">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2.75" customHeight="1" x14ac:dyDescent="0.2">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0" sqref="A20"/>
    </sheetView>
  </sheetViews>
  <sheetFormatPr baseColWidth="10" defaultColWidth="12.625" defaultRowHeight="15" customHeight="1" x14ac:dyDescent="0.2"/>
  <cols>
    <col min="1" max="1" width="28.625" customWidth="1"/>
    <col min="2" max="6" width="10" customWidth="1"/>
    <col min="7" max="26" width="9.375" customWidth="1"/>
  </cols>
  <sheetData>
    <row r="1" spans="1:26" ht="12.75" customHeight="1" x14ac:dyDescent="0.2">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row>
    <row r="2" spans="1:26" ht="12.75" customHeight="1" x14ac:dyDescent="0.2">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row>
    <row r="3" spans="1:26" ht="12.75" customHeight="1" x14ac:dyDescent="0.2">
      <c r="A3" s="117" t="s">
        <v>165</v>
      </c>
      <c r="B3" s="116"/>
      <c r="C3" s="116"/>
      <c r="D3" s="116"/>
      <c r="E3" s="116"/>
      <c r="F3" s="116"/>
      <c r="G3" s="116"/>
      <c r="H3" s="116"/>
      <c r="I3" s="116"/>
      <c r="J3" s="116"/>
      <c r="K3" s="116"/>
      <c r="L3" s="116"/>
      <c r="M3" s="116"/>
      <c r="N3" s="116"/>
      <c r="O3" s="116"/>
      <c r="P3" s="116"/>
      <c r="Q3" s="116"/>
      <c r="R3" s="116"/>
      <c r="S3" s="116"/>
      <c r="T3" s="116"/>
      <c r="U3" s="116"/>
      <c r="V3" s="116"/>
      <c r="W3" s="116"/>
      <c r="X3" s="116"/>
      <c r="Y3" s="116"/>
      <c r="Z3" s="116"/>
    </row>
    <row r="4" spans="1:26" ht="12.75" customHeight="1" x14ac:dyDescent="0.2">
      <c r="A4" s="117" t="s">
        <v>167</v>
      </c>
      <c r="B4" s="116"/>
      <c r="C4" s="116"/>
      <c r="D4" s="116"/>
      <c r="E4" s="116"/>
      <c r="F4" s="116"/>
      <c r="G4" s="116"/>
      <c r="H4" s="116"/>
      <c r="I4" s="116"/>
      <c r="J4" s="116"/>
      <c r="K4" s="116"/>
      <c r="L4" s="116"/>
      <c r="M4" s="116"/>
      <c r="N4" s="116"/>
      <c r="O4" s="116"/>
      <c r="P4" s="116"/>
      <c r="Q4" s="116"/>
      <c r="R4" s="116"/>
      <c r="S4" s="116"/>
      <c r="T4" s="116"/>
      <c r="U4" s="116"/>
      <c r="V4" s="116"/>
      <c r="W4" s="116"/>
      <c r="X4" s="116"/>
      <c r="Y4" s="116"/>
      <c r="Z4" s="116"/>
    </row>
    <row r="5" spans="1:26" ht="12.75" customHeight="1" x14ac:dyDescent="0.2">
      <c r="A5" s="117" t="s">
        <v>169</v>
      </c>
      <c r="B5" s="116"/>
      <c r="C5" s="116"/>
      <c r="D5" s="116"/>
      <c r="E5" s="116"/>
      <c r="F5" s="116"/>
      <c r="G5" s="116"/>
      <c r="H5" s="116"/>
      <c r="I5" s="116"/>
      <c r="J5" s="116"/>
      <c r="K5" s="116"/>
      <c r="L5" s="116"/>
      <c r="M5" s="116"/>
      <c r="N5" s="116"/>
      <c r="O5" s="116"/>
      <c r="P5" s="116"/>
      <c r="Q5" s="116"/>
      <c r="R5" s="116"/>
      <c r="S5" s="116"/>
      <c r="T5" s="116"/>
      <c r="U5" s="116"/>
      <c r="V5" s="116"/>
      <c r="W5" s="116"/>
      <c r="X5" s="116"/>
      <c r="Y5" s="116"/>
      <c r="Z5" s="116"/>
    </row>
    <row r="6" spans="1:26" ht="12.75" customHeight="1" x14ac:dyDescent="0.2">
      <c r="A6" s="117" t="s">
        <v>171</v>
      </c>
      <c r="B6" s="116"/>
      <c r="C6" s="116"/>
      <c r="D6" s="116"/>
      <c r="E6" s="116"/>
      <c r="F6" s="116"/>
      <c r="G6" s="116"/>
      <c r="H6" s="116"/>
      <c r="I6" s="116"/>
      <c r="J6" s="116"/>
      <c r="K6" s="116"/>
      <c r="L6" s="116"/>
      <c r="M6" s="116"/>
      <c r="N6" s="116"/>
      <c r="O6" s="116"/>
      <c r="P6" s="116"/>
      <c r="Q6" s="116"/>
      <c r="R6" s="116"/>
      <c r="S6" s="116"/>
      <c r="T6" s="116"/>
      <c r="U6" s="116"/>
      <c r="V6" s="116"/>
      <c r="W6" s="116"/>
      <c r="X6" s="116"/>
      <c r="Y6" s="116"/>
      <c r="Z6" s="116"/>
    </row>
    <row r="7" spans="1:26" ht="12.75" customHeight="1" x14ac:dyDescent="0.2">
      <c r="A7" s="117" t="s">
        <v>173</v>
      </c>
      <c r="B7" s="116"/>
      <c r="C7" s="116"/>
      <c r="D7" s="116"/>
      <c r="E7" s="116"/>
      <c r="F7" s="116"/>
      <c r="G7" s="116"/>
      <c r="H7" s="116"/>
      <c r="I7" s="116"/>
      <c r="J7" s="116"/>
      <c r="K7" s="116"/>
      <c r="L7" s="116"/>
      <c r="M7" s="116"/>
      <c r="N7" s="116"/>
      <c r="O7" s="116"/>
      <c r="P7" s="116"/>
      <c r="Q7" s="116"/>
      <c r="R7" s="116"/>
      <c r="S7" s="116"/>
      <c r="T7" s="116"/>
      <c r="U7" s="116"/>
      <c r="V7" s="116"/>
      <c r="W7" s="116"/>
      <c r="X7" s="116"/>
      <c r="Y7" s="116"/>
      <c r="Z7" s="116"/>
    </row>
    <row r="8" spans="1:26" ht="12.75" customHeight="1" x14ac:dyDescent="0.2">
      <c r="A8" s="117" t="s">
        <v>176</v>
      </c>
      <c r="B8" s="116"/>
      <c r="C8" s="116"/>
      <c r="D8" s="116"/>
      <c r="E8" s="116"/>
      <c r="F8" s="116"/>
      <c r="G8" s="116"/>
      <c r="H8" s="116"/>
      <c r="I8" s="116"/>
      <c r="J8" s="116"/>
      <c r="K8" s="116"/>
      <c r="L8" s="116"/>
      <c r="M8" s="116"/>
      <c r="N8" s="116"/>
      <c r="O8" s="116"/>
      <c r="P8" s="116"/>
      <c r="Q8" s="116"/>
      <c r="R8" s="116"/>
      <c r="S8" s="116"/>
      <c r="T8" s="116"/>
      <c r="U8" s="116"/>
      <c r="V8" s="116"/>
      <c r="W8" s="116"/>
      <c r="X8" s="116"/>
      <c r="Y8" s="116"/>
      <c r="Z8" s="116"/>
    </row>
    <row r="9" spans="1:26" ht="12.75" customHeight="1" x14ac:dyDescent="0.2">
      <c r="A9" s="117" t="s">
        <v>179</v>
      </c>
      <c r="B9" s="116"/>
      <c r="C9" s="116"/>
      <c r="D9" s="116"/>
      <c r="E9" s="116"/>
      <c r="F9" s="116"/>
      <c r="G9" s="116"/>
      <c r="H9" s="116"/>
      <c r="I9" s="116"/>
      <c r="J9" s="116"/>
      <c r="K9" s="116"/>
      <c r="L9" s="116"/>
      <c r="M9" s="116"/>
      <c r="N9" s="116"/>
      <c r="O9" s="116"/>
      <c r="P9" s="116"/>
      <c r="Q9" s="116"/>
      <c r="R9" s="116"/>
      <c r="S9" s="116"/>
      <c r="T9" s="116"/>
      <c r="U9" s="116"/>
      <c r="V9" s="116"/>
      <c r="W9" s="116"/>
      <c r="X9" s="116"/>
      <c r="Y9" s="116"/>
      <c r="Z9" s="116"/>
    </row>
    <row r="10" spans="1:26" ht="12.75" customHeight="1" x14ac:dyDescent="0.2">
      <c r="A10" s="117" t="s">
        <v>181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row>
    <row r="11" spans="1:26" ht="12.75" customHeight="1" x14ac:dyDescent="0.2">
      <c r="A11" s="117" t="s">
        <v>183</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row>
    <row r="12" spans="1:26" ht="12.75" customHeight="1" x14ac:dyDescent="0.2">
      <c r="A12" s="117" t="s">
        <v>207</v>
      </c>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row>
    <row r="13" spans="1:26" ht="12.75" customHeight="1" x14ac:dyDescent="0.2">
      <c r="A13" s="117" t="s">
        <v>208</v>
      </c>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row>
    <row r="14" spans="1:26" ht="12.75" customHeight="1" x14ac:dyDescent="0.2">
      <c r="A14" s="117" t="s">
        <v>209</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row>
    <row r="15" spans="1:26" ht="12.7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row>
    <row r="16" spans="1:26" ht="12.75" customHeight="1" x14ac:dyDescent="0.2">
      <c r="A16" s="117" t="s">
        <v>210</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row>
    <row r="17" spans="1:26" ht="12.75" customHeight="1" x14ac:dyDescent="0.2">
      <c r="A17" s="117" t="s">
        <v>190</v>
      </c>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row>
    <row r="18" spans="1:26" ht="12.75" customHeight="1" x14ac:dyDescent="0.2">
      <c r="A18" s="117" t="s">
        <v>192</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row>
    <row r="19" spans="1:26" ht="12.75" customHeight="1" x14ac:dyDescent="0.2">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row>
    <row r="20" spans="1:26" ht="12.75" customHeight="1" x14ac:dyDescent="0.2">
      <c r="A20" s="117" t="s">
        <v>198</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row>
    <row r="21" spans="1:26" ht="12.75" customHeight="1" x14ac:dyDescent="0.2">
      <c r="A21" s="117" t="s">
        <v>199</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row>
    <row r="22" spans="1:26" ht="12.75" customHeight="1" x14ac:dyDescent="0.2">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row>
    <row r="23" spans="1:26" ht="12.75" customHeight="1" x14ac:dyDescent="0.2">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row>
    <row r="24" spans="1:26" ht="12.75" customHeight="1" x14ac:dyDescent="0.2">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row>
    <row r="25" spans="1:26" ht="12.75" customHeight="1" x14ac:dyDescent="0.2">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row>
    <row r="26" spans="1:26" ht="12.75" customHeight="1" x14ac:dyDescent="0.2">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1:26" ht="12.75" customHeight="1" x14ac:dyDescent="0.2">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row>
    <row r="28" spans="1:26" ht="12.75" customHeight="1" x14ac:dyDescent="0.2">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1:26" ht="12.75" customHeight="1" x14ac:dyDescent="0.2">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row>
    <row r="30" spans="1:26" ht="12.75" customHeight="1" x14ac:dyDescent="0.2">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row>
    <row r="31" spans="1:26" ht="12.75" customHeight="1" x14ac:dyDescent="0.2">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row>
    <row r="32" spans="1:26" ht="12.75" customHeight="1" x14ac:dyDescent="0.2">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row>
    <row r="33" spans="1:26" ht="12.75" customHeight="1" x14ac:dyDescent="0.2">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row>
    <row r="34" spans="1:26" ht="12.75" customHeight="1" x14ac:dyDescent="0.2">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row>
    <row r="35" spans="1:26" ht="12.75" customHeight="1" x14ac:dyDescent="0.2">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row>
    <row r="36" spans="1:26" ht="12.75" customHeight="1" x14ac:dyDescent="0.2">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row>
    <row r="37" spans="1:26" ht="12.75" customHeight="1" x14ac:dyDescent="0.2">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row>
    <row r="38" spans="1:26" ht="12.75" customHeight="1" x14ac:dyDescent="0.2">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row>
    <row r="39" spans="1:26" ht="12.75" customHeight="1" x14ac:dyDescent="0.2">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row>
    <row r="40" spans="1:26" ht="12.75" customHeight="1" x14ac:dyDescent="0.2">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row>
    <row r="41" spans="1:26" ht="12.75" customHeight="1" x14ac:dyDescent="0.2">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row>
    <row r="42" spans="1:26" ht="12.75" customHeight="1" x14ac:dyDescent="0.2">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row>
    <row r="43" spans="1:26" ht="12.75" customHeight="1" x14ac:dyDescent="0.2">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row>
    <row r="44" spans="1:26" ht="12.75" customHeight="1" x14ac:dyDescent="0.2">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row>
    <row r="45" spans="1:26" ht="12.75" customHeight="1" x14ac:dyDescent="0.2">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row>
    <row r="46" spans="1:26" ht="12.75" customHeight="1" x14ac:dyDescent="0.2">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row>
    <row r="47" spans="1:26" ht="12.75" customHeight="1" x14ac:dyDescent="0.2">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row>
    <row r="48" spans="1:26" ht="12.75" customHeight="1" x14ac:dyDescent="0.2">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row>
    <row r="49" spans="1:26" ht="12.75" customHeight="1" x14ac:dyDescent="0.2">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row>
    <row r="50" spans="1:26" ht="12.75" customHeight="1"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row>
    <row r="51" spans="1:26" ht="12.75" customHeight="1" x14ac:dyDescent="0.2">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row>
    <row r="52" spans="1:26" ht="12.75" customHeight="1" x14ac:dyDescent="0.2">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row>
    <row r="53" spans="1:26" ht="12.75" customHeight="1" x14ac:dyDescent="0.2">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row>
    <row r="54" spans="1:26" ht="12.75" customHeight="1" x14ac:dyDescent="0.2">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row>
    <row r="55" spans="1:26" ht="12.75" customHeight="1" x14ac:dyDescent="0.2">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row>
    <row r="56" spans="1:26" ht="12.75" customHeight="1" x14ac:dyDescent="0.2">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row>
    <row r="57" spans="1:26" ht="12.75" customHeight="1" x14ac:dyDescent="0.2">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row>
    <row r="58" spans="1:26" ht="12.75" customHeight="1" x14ac:dyDescent="0.2">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row>
    <row r="59" spans="1:26" ht="12.75" customHeight="1" x14ac:dyDescent="0.2">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row>
    <row r="60" spans="1:26" ht="12.75" customHeight="1" x14ac:dyDescent="0.2">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row>
    <row r="61" spans="1:26" ht="12.75" customHeight="1" x14ac:dyDescent="0.2">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row>
    <row r="62" spans="1:26" ht="12.75" customHeight="1" x14ac:dyDescent="0.2">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row>
    <row r="63" spans="1:26" ht="12.75" customHeight="1" x14ac:dyDescent="0.2">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row>
    <row r="64" spans="1:26" ht="12.75" customHeight="1" x14ac:dyDescent="0.2">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row>
    <row r="65" spans="1:26" ht="12.75" customHeight="1" x14ac:dyDescent="0.2">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row>
    <row r="66" spans="1:26" ht="12.75" customHeight="1" x14ac:dyDescent="0.2">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row>
    <row r="67" spans="1:26" ht="12.75" customHeight="1" x14ac:dyDescent="0.2">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row>
    <row r="68" spans="1:26" ht="12.75" customHeight="1" x14ac:dyDescent="0.2">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row>
    <row r="69" spans="1:26" ht="12.75" customHeight="1" x14ac:dyDescent="0.2">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row>
    <row r="70" spans="1:26" ht="12.75" customHeight="1" x14ac:dyDescent="0.2">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row>
    <row r="71" spans="1:26" ht="12.75" customHeight="1" x14ac:dyDescent="0.2">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row>
    <row r="72" spans="1:26" ht="12.75" customHeight="1" x14ac:dyDescent="0.2">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row>
    <row r="73" spans="1:26" ht="12.75" customHeight="1" x14ac:dyDescent="0.2">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row>
    <row r="74" spans="1:26" ht="12.75" customHeight="1" x14ac:dyDescent="0.2">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row>
    <row r="75" spans="1:26" ht="12.75" customHeight="1" x14ac:dyDescent="0.2">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row>
    <row r="76" spans="1:26" ht="12.75" customHeight="1" x14ac:dyDescent="0.2">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row>
    <row r="77" spans="1:26" ht="12.75" customHeight="1" x14ac:dyDescent="0.2">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row>
    <row r="78" spans="1:26" ht="12.75" customHeight="1" x14ac:dyDescent="0.2">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79" spans="1:26" ht="12.75" customHeight="1" x14ac:dyDescent="0.2">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row>
    <row r="80" spans="1:26" ht="12.75" customHeight="1" x14ac:dyDescent="0.2">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row>
    <row r="81" spans="1:26" ht="12.75" customHeight="1" x14ac:dyDescent="0.2">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row>
    <row r="82" spans="1:26" ht="12.75" customHeight="1" x14ac:dyDescent="0.2">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row>
    <row r="83" spans="1:26" ht="12.75" customHeight="1" x14ac:dyDescent="0.2">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row>
    <row r="84" spans="1:26" ht="12.75" customHeight="1" x14ac:dyDescent="0.2">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row>
    <row r="85" spans="1:26" ht="12.75" customHeight="1" x14ac:dyDescent="0.2">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row>
    <row r="86" spans="1:26" ht="12.75" customHeight="1" x14ac:dyDescent="0.2">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row>
    <row r="87" spans="1:26" ht="12.75" customHeight="1" x14ac:dyDescent="0.2">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row>
    <row r="88" spans="1:26" ht="12.75" customHeight="1" x14ac:dyDescent="0.2">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row>
    <row r="89" spans="1:26" ht="12.75" customHeight="1" x14ac:dyDescent="0.2">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row>
    <row r="90" spans="1:26" ht="12.75" customHeight="1" x14ac:dyDescent="0.2">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row>
    <row r="91" spans="1:26" ht="12.75" customHeight="1" x14ac:dyDescent="0.2">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row>
    <row r="92" spans="1:26" ht="12.75" customHeight="1" x14ac:dyDescent="0.2">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row>
    <row r="93" spans="1:26"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row>
    <row r="94" spans="1:26" ht="12.75" customHeight="1" x14ac:dyDescent="0.2">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row>
    <row r="95" spans="1:26" ht="12.75" customHeight="1" x14ac:dyDescent="0.2">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row>
    <row r="96" spans="1:26" ht="12.75" customHeight="1" x14ac:dyDescent="0.2">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row>
    <row r="97" spans="1:26" ht="12.75" customHeight="1" x14ac:dyDescent="0.2">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row>
    <row r="98" spans="1:26" ht="12.75" customHeight="1"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row>
    <row r="99" spans="1:26" ht="12.75" customHeight="1"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row>
    <row r="100" spans="1:26" ht="12.75" customHeight="1"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row>
    <row r="101" spans="1:26" ht="12.75" customHeight="1"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row>
    <row r="102" spans="1:26" ht="12.75" customHeight="1"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row>
    <row r="103" spans="1:26" ht="12.75" customHeight="1"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row>
    <row r="104" spans="1:26" ht="12.75" customHeight="1"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row>
    <row r="105" spans="1:26" ht="12.75" customHeight="1"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row>
    <row r="106" spans="1:26" ht="12.75" customHeight="1"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row>
    <row r="107" spans="1:26" ht="12.75" customHeight="1"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row>
    <row r="108" spans="1:26" ht="12.75" customHeight="1"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row>
    <row r="109" spans="1:26" ht="12.75" customHeight="1"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row>
    <row r="110" spans="1:26" ht="12.75" customHeight="1"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row>
    <row r="111" spans="1:26" ht="12.75" customHeight="1"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row>
    <row r="112" spans="1:26" ht="12.75" customHeight="1"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row>
    <row r="113" spans="1:26" ht="12.75" customHeight="1"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row>
    <row r="114" spans="1:26" ht="12.75" customHeight="1"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row>
    <row r="115" spans="1:26" ht="12.75" customHeight="1"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row>
    <row r="116" spans="1:26" ht="12.75" customHeight="1"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row>
    <row r="117" spans="1:26" ht="12.75" customHeight="1"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row>
    <row r="118" spans="1:26" ht="12.75" customHeight="1"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row>
    <row r="119" spans="1:26" ht="12.75" customHeight="1"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row>
    <row r="120" spans="1:26" ht="12.75" customHeight="1"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row>
    <row r="121" spans="1:26" ht="12.75" customHeight="1"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row>
    <row r="122" spans="1:26" ht="12.75" customHeight="1"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row>
    <row r="123" spans="1:26" ht="12.75" customHeight="1"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row>
    <row r="124" spans="1:26" ht="12.75" customHeight="1"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row>
    <row r="125" spans="1:26" ht="12.75" customHeight="1"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row>
    <row r="126" spans="1:26" ht="12.75" customHeight="1"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row>
    <row r="127" spans="1:26" ht="12.75" customHeight="1"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row>
    <row r="128" spans="1:26" ht="12.75" customHeight="1"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row>
    <row r="129" spans="1:26" ht="12.75" customHeight="1"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row>
    <row r="130" spans="1:26" ht="12.75" customHeight="1"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row>
    <row r="131" spans="1:26" ht="12.75" customHeight="1"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row>
    <row r="132" spans="1:26" ht="12.75" customHeight="1"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row>
    <row r="133" spans="1:26" ht="12.75" customHeight="1"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row>
    <row r="134" spans="1:26" ht="12.75" customHeight="1"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row>
    <row r="135" spans="1:26" ht="12.75" customHeight="1"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row>
    <row r="136" spans="1:26" ht="12.75" customHeight="1"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row>
    <row r="137" spans="1:26" ht="12.75" customHeight="1"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row>
    <row r="138" spans="1:26" ht="12.75" customHeight="1"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row>
    <row r="139" spans="1:26" ht="12.75" customHeight="1"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row>
    <row r="140" spans="1:26" ht="12.75" customHeight="1"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row>
    <row r="141" spans="1:26" ht="12.75" customHeight="1"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row>
    <row r="142" spans="1:26" ht="12.75" customHeight="1"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row>
    <row r="143" spans="1:26" ht="12.75" customHeight="1"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row>
    <row r="144" spans="1:26" ht="12.75" customHeight="1"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row>
    <row r="145" spans="1:26" ht="12.75" customHeight="1"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row>
    <row r="146" spans="1:26" ht="12.75" customHeight="1"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row>
    <row r="147" spans="1:26" ht="12.75" customHeight="1"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row>
    <row r="148" spans="1:26" ht="12.75" customHeight="1"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row>
    <row r="149" spans="1:26" ht="12.75" customHeight="1"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row>
    <row r="150" spans="1:26" ht="12.75" customHeight="1"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row>
    <row r="151" spans="1:26" ht="12.75" customHeight="1"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row>
    <row r="152" spans="1:26" ht="12.75" customHeight="1"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row>
    <row r="153" spans="1:26" ht="12.75" customHeight="1"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row>
    <row r="154" spans="1:26"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row>
    <row r="155" spans="1:26"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row>
    <row r="156" spans="1:26" ht="12.75" customHeight="1"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row>
    <row r="157" spans="1:26" ht="12.75" customHeight="1"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row>
    <row r="158" spans="1:26" ht="12.75" customHeight="1"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row>
    <row r="159" spans="1:26" ht="12.75" customHeight="1"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row>
    <row r="160" spans="1:26" ht="12.75" customHeight="1"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row>
    <row r="161" spans="1:26" ht="12.75" customHeight="1"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row>
    <row r="162" spans="1:26" ht="12.75" customHeight="1"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row>
    <row r="163" spans="1:26" ht="12.75" customHeight="1"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row>
    <row r="164" spans="1:26" ht="12.75" customHeight="1"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row>
    <row r="165" spans="1:26" ht="12.75" customHeight="1"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row>
    <row r="166" spans="1:26" ht="12.75" customHeight="1"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row>
    <row r="167" spans="1:26" ht="12.75" customHeight="1"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row>
    <row r="168" spans="1:26" ht="12.75" customHeight="1"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row>
    <row r="169" spans="1:26" ht="12.75" customHeight="1"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row>
    <row r="170" spans="1:26" ht="12.75" customHeight="1"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row>
    <row r="171" spans="1:26" ht="12.75" customHeight="1"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row>
    <row r="172" spans="1:26" ht="12.75" customHeight="1"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row>
    <row r="173" spans="1:26" ht="12.75" customHeight="1"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row>
    <row r="174" spans="1:26" ht="12.75" customHeight="1"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row>
    <row r="175" spans="1:26" ht="12.75" customHeight="1"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row>
    <row r="176" spans="1:26" ht="12.75" customHeight="1"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row>
    <row r="177" spans="1:26" ht="12.75" customHeight="1"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row>
    <row r="178" spans="1:26" ht="12.75" customHeight="1"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row>
    <row r="179" spans="1:26" ht="12.75" customHeight="1"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row>
    <row r="180" spans="1:26" ht="12.75" customHeight="1"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row>
    <row r="181" spans="1:26" ht="12.75" customHeight="1"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row>
    <row r="182" spans="1:26" ht="12.75" customHeight="1"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row>
    <row r="183" spans="1:26" ht="12.75" customHeight="1"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row>
    <row r="184" spans="1:26" ht="12.75" customHeight="1"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row>
    <row r="185" spans="1:26" ht="12.75" customHeight="1"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row>
    <row r="186" spans="1:26" ht="12.75" customHeight="1"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row>
    <row r="187" spans="1:26" ht="12.75" customHeight="1"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row>
    <row r="188" spans="1:26" ht="12.75" customHeight="1"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row>
    <row r="189" spans="1:26" ht="12.75" customHeight="1"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row>
    <row r="190" spans="1:26" ht="12.75" customHeight="1"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row>
    <row r="191" spans="1:26" ht="12.75" customHeight="1"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row>
    <row r="192" spans="1:26" ht="12.75" customHeight="1"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row>
    <row r="193" spans="1:26" ht="12.75" customHeight="1"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row>
    <row r="194" spans="1:26" ht="12.75" customHeight="1"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row>
    <row r="195" spans="1:26" ht="12.75" customHeight="1"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row>
    <row r="196" spans="1:26" ht="12.75" customHeight="1"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row>
    <row r="197" spans="1:26" ht="12.75" customHeight="1"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row>
    <row r="198" spans="1:26" ht="12.75" customHeight="1"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row>
    <row r="199" spans="1:26" ht="12.75" customHeight="1"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row>
    <row r="200" spans="1:26" ht="12.75" customHeight="1"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row>
    <row r="201" spans="1:26" ht="12.75" customHeight="1"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row>
    <row r="202" spans="1:26" ht="12.75" customHeight="1"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row>
    <row r="203" spans="1:26" ht="12.75" customHeight="1"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row>
    <row r="204" spans="1:26" ht="12.75" customHeight="1"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row>
    <row r="205" spans="1:26" ht="12.75" customHeight="1"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row>
    <row r="206" spans="1:26" ht="12.75" customHeight="1"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row>
    <row r="207" spans="1:26" ht="12.75" customHeight="1"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row>
    <row r="208" spans="1:26" ht="12.75" customHeight="1"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row>
    <row r="209" spans="1:26"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row>
    <row r="210" spans="1:26"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row>
    <row r="211" spans="1:26"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row>
    <row r="212" spans="1:26"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row>
    <row r="213" spans="1:26"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row>
    <row r="214" spans="1:26"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row>
    <row r="215" spans="1:26"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row>
    <row r="216" spans="1:26"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row>
    <row r="217" spans="1:26"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row>
    <row r="218" spans="1:26"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row>
    <row r="219" spans="1:26"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row>
    <row r="220" spans="1:26"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row>
    <row r="221" spans="1:26"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row>
    <row r="222" spans="1:26"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row>
    <row r="223" spans="1:26"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row>
    <row r="224" spans="1:26"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row>
    <row r="225" spans="1:26"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row>
    <row r="226" spans="1:26"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row>
    <row r="227" spans="1:26"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row>
    <row r="228" spans="1:26"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row>
    <row r="229" spans="1:26"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row>
    <row r="230" spans="1:26"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row>
    <row r="231" spans="1:26"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row>
    <row r="232" spans="1:26"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row>
    <row r="233" spans="1:26"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row>
    <row r="234" spans="1:26"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row>
    <row r="235" spans="1:26"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row>
    <row r="236" spans="1:26"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row>
    <row r="237" spans="1:26" ht="12.75" customHeight="1"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row>
    <row r="238" spans="1:26" ht="12.75" customHeight="1"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row>
    <row r="239" spans="1:26" ht="12.75" customHeight="1"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row>
    <row r="240" spans="1:26" ht="12.75" customHeight="1"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row>
    <row r="241" spans="1:26" ht="12.75" customHeight="1"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row>
    <row r="242" spans="1:26" ht="12.75" customHeight="1" x14ac:dyDescent="0.2">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row>
    <row r="243" spans="1:26" ht="12.75" customHeight="1" x14ac:dyDescent="0.2">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row>
    <row r="244" spans="1:26" ht="12.75" customHeight="1" x14ac:dyDescent="0.2">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row>
    <row r="245" spans="1:26" ht="12.75" customHeight="1" x14ac:dyDescent="0.2">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row>
    <row r="246" spans="1:26" ht="12.75" customHeight="1" x14ac:dyDescent="0.2">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row>
    <row r="247" spans="1:26" ht="12.75" customHeight="1" x14ac:dyDescent="0.2">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row>
    <row r="248" spans="1:26" ht="12.75" customHeight="1" x14ac:dyDescent="0.2">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row>
    <row r="249" spans="1:26" ht="12.75" customHeight="1" x14ac:dyDescent="0.2">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row>
    <row r="250" spans="1:26" ht="12.75" customHeight="1" x14ac:dyDescent="0.2">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row>
    <row r="251" spans="1:26" ht="12.75" customHeight="1" x14ac:dyDescent="0.2">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row>
    <row r="252" spans="1:26" ht="12.75" customHeight="1" x14ac:dyDescent="0.2">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row>
    <row r="253" spans="1:26" ht="12.75" customHeight="1" x14ac:dyDescent="0.2">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row>
    <row r="254" spans="1:26" ht="12.75" customHeight="1" x14ac:dyDescent="0.2">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row>
    <row r="255" spans="1:26" ht="12.75" customHeight="1" x14ac:dyDescent="0.2">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row>
    <row r="256" spans="1:26" ht="12.75" customHeight="1" x14ac:dyDescent="0.2">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row>
    <row r="257" spans="1:26" ht="12.75" customHeight="1" x14ac:dyDescent="0.2">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row>
    <row r="258" spans="1:26" ht="12.75" customHeight="1" x14ac:dyDescent="0.2">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row>
    <row r="259" spans="1:26" ht="12.75" customHeight="1" x14ac:dyDescent="0.2">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row>
    <row r="260" spans="1:26" ht="12.75" customHeight="1" x14ac:dyDescent="0.2">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row>
    <row r="261" spans="1:26" ht="12.75" customHeight="1" x14ac:dyDescent="0.2">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row>
    <row r="262" spans="1:26" ht="12.75" customHeight="1" x14ac:dyDescent="0.2">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row>
    <row r="263" spans="1:26" ht="12.75" customHeight="1" x14ac:dyDescent="0.2">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row>
    <row r="264" spans="1:26" ht="12.75" customHeight="1" x14ac:dyDescent="0.2">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row>
    <row r="265" spans="1:26" ht="12.75" customHeight="1" x14ac:dyDescent="0.2">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row>
    <row r="266" spans="1:26" ht="12.75" customHeight="1" x14ac:dyDescent="0.2">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row>
    <row r="267" spans="1:26" ht="12.75" customHeight="1" x14ac:dyDescent="0.2">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row>
    <row r="268" spans="1:26" ht="12.75" customHeight="1" x14ac:dyDescent="0.2">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row>
    <row r="269" spans="1:26" ht="12.75" customHeight="1" x14ac:dyDescent="0.2">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row>
    <row r="270" spans="1:26" ht="12.75" customHeight="1" x14ac:dyDescent="0.2">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row>
    <row r="271" spans="1:26" ht="12.75" customHeight="1" x14ac:dyDescent="0.2">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row>
    <row r="272" spans="1:26" ht="12.75" customHeight="1" x14ac:dyDescent="0.2">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row>
    <row r="273" spans="1:26" ht="12.75" customHeight="1" x14ac:dyDescent="0.2">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row>
    <row r="274" spans="1:26" ht="12.75" customHeight="1" x14ac:dyDescent="0.2">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row>
    <row r="275" spans="1:26" ht="12.75" customHeight="1" x14ac:dyDescent="0.2">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row>
    <row r="276" spans="1:26" ht="12.75" customHeight="1" x14ac:dyDescent="0.2">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row>
    <row r="277" spans="1:26" ht="12.75" customHeight="1" x14ac:dyDescent="0.2">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row>
    <row r="278" spans="1:26" ht="12.75" customHeight="1" x14ac:dyDescent="0.2">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row>
    <row r="279" spans="1:26" ht="12.75" customHeight="1" x14ac:dyDescent="0.2">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row>
    <row r="280" spans="1:26" ht="12.75" customHeight="1" x14ac:dyDescent="0.2">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row>
    <row r="281" spans="1:26" ht="12.75" customHeight="1" x14ac:dyDescent="0.2">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row>
    <row r="282" spans="1:26" ht="12.75" customHeight="1" x14ac:dyDescent="0.2">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row>
    <row r="283" spans="1:26" ht="12.75" customHeight="1" x14ac:dyDescent="0.2">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row>
    <row r="284" spans="1:26" ht="12.75" customHeight="1" x14ac:dyDescent="0.2">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row>
    <row r="285" spans="1:26" ht="12.75" customHeight="1" x14ac:dyDescent="0.2">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row>
    <row r="286" spans="1:26" ht="12.75" customHeight="1" x14ac:dyDescent="0.2">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row>
    <row r="287" spans="1:26" ht="12.75" customHeight="1" x14ac:dyDescent="0.2">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row>
    <row r="288" spans="1:26" ht="12.75" customHeight="1" x14ac:dyDescent="0.2">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row>
    <row r="289" spans="1:26" ht="12.75" customHeight="1" x14ac:dyDescent="0.2">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row>
    <row r="290" spans="1:26" ht="12.75" customHeight="1" x14ac:dyDescent="0.2">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row>
    <row r="291" spans="1:26" ht="12.75" customHeight="1" x14ac:dyDescent="0.2">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row>
    <row r="292" spans="1:26" ht="12.75" customHeight="1" x14ac:dyDescent="0.2">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row>
    <row r="293" spans="1:26" ht="12.75" customHeight="1" x14ac:dyDescent="0.2">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row>
    <row r="294" spans="1:26" ht="12.75" customHeight="1" x14ac:dyDescent="0.2">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row>
    <row r="295" spans="1:26" ht="12.75" customHeight="1" x14ac:dyDescent="0.2">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row>
    <row r="296" spans="1:26" ht="12.75" customHeight="1" x14ac:dyDescent="0.2">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row>
    <row r="297" spans="1:26" ht="12.75" customHeight="1" x14ac:dyDescent="0.2">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row>
    <row r="298" spans="1:26" ht="12.75" customHeight="1" x14ac:dyDescent="0.2">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row>
    <row r="299" spans="1:26" ht="12.75" customHeight="1" x14ac:dyDescent="0.2">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c r="Z299" s="116"/>
    </row>
    <row r="300" spans="1:26" ht="12.75" customHeight="1" x14ac:dyDescent="0.2">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c r="Z300" s="116"/>
    </row>
    <row r="301" spans="1:26" ht="12.75" customHeight="1" x14ac:dyDescent="0.2">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row>
    <row r="302" spans="1:26" ht="12.75" customHeight="1" x14ac:dyDescent="0.2">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row>
    <row r="303" spans="1:26" ht="12.75" customHeight="1" x14ac:dyDescent="0.2">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row>
    <row r="304" spans="1:26" ht="12.75" customHeight="1" x14ac:dyDescent="0.2">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row>
    <row r="305" spans="1:26" ht="12.75" customHeight="1" x14ac:dyDescent="0.2">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row>
    <row r="306" spans="1:26" ht="12.75" customHeight="1" x14ac:dyDescent="0.2">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row>
    <row r="307" spans="1:26" ht="12.75" customHeight="1" x14ac:dyDescent="0.2">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row>
    <row r="308" spans="1:26" ht="12.75" customHeight="1" x14ac:dyDescent="0.2">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row>
    <row r="309" spans="1:26" ht="12.75" customHeight="1" x14ac:dyDescent="0.2">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row>
    <row r="310" spans="1:26" ht="12.75" customHeight="1" x14ac:dyDescent="0.2">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row>
    <row r="311" spans="1:26" ht="12.75" customHeight="1" x14ac:dyDescent="0.2">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row>
    <row r="312" spans="1:26" ht="12.75" customHeight="1" x14ac:dyDescent="0.2">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row>
    <row r="313" spans="1:26" ht="12.75" customHeight="1" x14ac:dyDescent="0.2">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row>
    <row r="314" spans="1:26" ht="12.75" customHeight="1" x14ac:dyDescent="0.2">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row>
    <row r="315" spans="1:26" ht="12.75" customHeight="1" x14ac:dyDescent="0.2">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row>
    <row r="316" spans="1:26" ht="12.75" customHeight="1" x14ac:dyDescent="0.2">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row>
    <row r="317" spans="1:26" ht="12.75" customHeight="1" x14ac:dyDescent="0.2">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row>
    <row r="318" spans="1:26" ht="12.75" customHeight="1" x14ac:dyDescent="0.2">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row>
    <row r="319" spans="1:26" ht="12.75" customHeight="1" x14ac:dyDescent="0.2">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row>
    <row r="320" spans="1:26" ht="12.75" customHeight="1" x14ac:dyDescent="0.2">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row>
    <row r="321" spans="1:26" ht="12.75" customHeight="1" x14ac:dyDescent="0.2">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row>
    <row r="322" spans="1:26" ht="12.75" customHeight="1" x14ac:dyDescent="0.2">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row>
    <row r="323" spans="1:26" ht="12.75" customHeight="1" x14ac:dyDescent="0.2">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row>
    <row r="324" spans="1:26" ht="12.75" customHeight="1" x14ac:dyDescent="0.2">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row>
    <row r="325" spans="1:26" ht="12.75" customHeight="1" x14ac:dyDescent="0.2">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row>
    <row r="326" spans="1:26" ht="12.75" customHeight="1" x14ac:dyDescent="0.2">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row>
    <row r="327" spans="1:26" ht="12.75" customHeight="1" x14ac:dyDescent="0.2">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row>
    <row r="328" spans="1:26" ht="12.75" customHeight="1" x14ac:dyDescent="0.2">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row>
    <row r="329" spans="1:26" ht="12.75" customHeight="1" x14ac:dyDescent="0.2">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row>
    <row r="330" spans="1:26" ht="12.75" customHeight="1" x14ac:dyDescent="0.2">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row>
    <row r="331" spans="1:26" ht="12.75" customHeight="1" x14ac:dyDescent="0.2">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row>
    <row r="332" spans="1:26" ht="12.75" customHeight="1" x14ac:dyDescent="0.2">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c r="Z332" s="116"/>
    </row>
    <row r="333" spans="1:26" ht="12.75" customHeight="1" x14ac:dyDescent="0.2">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c r="Z333" s="116"/>
    </row>
    <row r="334" spans="1:26" ht="12.75" customHeight="1" x14ac:dyDescent="0.2">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row>
    <row r="335" spans="1:26" ht="12.75" customHeight="1" x14ac:dyDescent="0.2">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row>
    <row r="336" spans="1:26" ht="12.75" customHeight="1" x14ac:dyDescent="0.2">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row>
    <row r="337" spans="1:26" ht="12.75" customHeight="1" x14ac:dyDescent="0.2">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row>
    <row r="338" spans="1:26" ht="12.75" customHeight="1" x14ac:dyDescent="0.2">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row>
    <row r="339" spans="1:26" ht="12.75" customHeight="1" x14ac:dyDescent="0.2">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row>
    <row r="340" spans="1:26" ht="12.75" customHeight="1" x14ac:dyDescent="0.2">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row>
    <row r="341" spans="1:26" ht="12.75" customHeight="1" x14ac:dyDescent="0.2">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row>
    <row r="342" spans="1:26" ht="12.75" customHeight="1" x14ac:dyDescent="0.2">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row>
    <row r="343" spans="1:26" ht="12.75" customHeight="1" x14ac:dyDescent="0.2">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row>
    <row r="344" spans="1:26" ht="12.75" customHeight="1" x14ac:dyDescent="0.2">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row>
    <row r="345" spans="1:26" ht="12.75" customHeight="1" x14ac:dyDescent="0.2">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row>
    <row r="346" spans="1:26" ht="12.75" customHeight="1" x14ac:dyDescent="0.2">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row>
    <row r="347" spans="1:26" ht="12.75" customHeight="1" x14ac:dyDescent="0.2">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row>
    <row r="348" spans="1:26" ht="12.75" customHeight="1" x14ac:dyDescent="0.2">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row>
    <row r="349" spans="1:26" ht="12.75" customHeight="1" x14ac:dyDescent="0.2">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row>
    <row r="350" spans="1:26" ht="12.75" customHeight="1" x14ac:dyDescent="0.2">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row>
    <row r="351" spans="1:26" ht="12.75" customHeight="1" x14ac:dyDescent="0.2">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row>
    <row r="352" spans="1:26" ht="12.75" customHeight="1" x14ac:dyDescent="0.2">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row>
    <row r="353" spans="1:26" ht="12.75" customHeight="1" x14ac:dyDescent="0.2">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row>
    <row r="354" spans="1:26" ht="12.75" customHeight="1" x14ac:dyDescent="0.2">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row>
    <row r="355" spans="1:26" ht="12.75" customHeight="1" x14ac:dyDescent="0.2">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row>
    <row r="356" spans="1:26" ht="12.75" customHeight="1" x14ac:dyDescent="0.2">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row>
    <row r="357" spans="1:26" ht="12.75" customHeight="1" x14ac:dyDescent="0.2">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row>
    <row r="358" spans="1:26" ht="12.75" customHeight="1" x14ac:dyDescent="0.2">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row>
    <row r="359" spans="1:26" ht="12.75" customHeight="1" x14ac:dyDescent="0.2">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row>
    <row r="360" spans="1:26" ht="12.75" customHeight="1" x14ac:dyDescent="0.2">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row>
    <row r="361" spans="1:26" ht="12.75" customHeight="1" x14ac:dyDescent="0.2">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row>
    <row r="362" spans="1:26" ht="12.75" customHeight="1" x14ac:dyDescent="0.2">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row>
    <row r="363" spans="1:26" ht="12.75" customHeight="1" x14ac:dyDescent="0.2">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row>
    <row r="364" spans="1:26" ht="12.75" customHeight="1" x14ac:dyDescent="0.2">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row>
    <row r="365" spans="1:26" ht="12.75" customHeight="1" x14ac:dyDescent="0.2">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c r="Z365" s="116"/>
    </row>
    <row r="366" spans="1:26" ht="12.75" customHeight="1" x14ac:dyDescent="0.2">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c r="Z366" s="116"/>
    </row>
    <row r="367" spans="1:26" ht="12.75" customHeight="1" x14ac:dyDescent="0.2">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row>
    <row r="368" spans="1:26" ht="12.75" customHeight="1" x14ac:dyDescent="0.2">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row>
    <row r="369" spans="1:26" ht="12.75" customHeight="1" x14ac:dyDescent="0.2">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row>
    <row r="370" spans="1:26" ht="12.75" customHeight="1" x14ac:dyDescent="0.2">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row>
    <row r="371" spans="1:26" ht="12.75" customHeight="1" x14ac:dyDescent="0.2">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row>
    <row r="372" spans="1:26" ht="12.75" customHeight="1" x14ac:dyDescent="0.2">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row>
    <row r="373" spans="1:26" ht="12.75" customHeight="1" x14ac:dyDescent="0.2">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row>
    <row r="374" spans="1:26" ht="12.75" customHeight="1" x14ac:dyDescent="0.2">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row>
    <row r="375" spans="1:26" ht="12.75" customHeight="1" x14ac:dyDescent="0.2">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row>
    <row r="376" spans="1:26" ht="12.75" customHeight="1" x14ac:dyDescent="0.2">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row>
    <row r="377" spans="1:26" ht="12.75" customHeight="1" x14ac:dyDescent="0.2">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row>
    <row r="378" spans="1:26" ht="12.75" customHeight="1" x14ac:dyDescent="0.2">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row>
    <row r="379" spans="1:26" ht="12.75" customHeight="1" x14ac:dyDescent="0.2">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row>
    <row r="380" spans="1:26" ht="12.75" customHeight="1" x14ac:dyDescent="0.2">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row>
    <row r="381" spans="1:26" ht="12.75" customHeight="1" x14ac:dyDescent="0.2">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row>
    <row r="382" spans="1:26" ht="12.75" customHeight="1" x14ac:dyDescent="0.2">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row>
    <row r="383" spans="1:26" ht="12.75" customHeight="1" x14ac:dyDescent="0.2">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row>
    <row r="384" spans="1:26" ht="12.75" customHeight="1" x14ac:dyDescent="0.2">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row>
    <row r="385" spans="1:26" ht="12.75" customHeight="1" x14ac:dyDescent="0.2">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row>
    <row r="386" spans="1:26" ht="12.75" customHeight="1" x14ac:dyDescent="0.2">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row>
    <row r="387" spans="1:26" ht="12.75" customHeight="1" x14ac:dyDescent="0.2">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row>
    <row r="388" spans="1:26" ht="12.75" customHeight="1" x14ac:dyDescent="0.2">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row>
    <row r="389" spans="1:26" ht="12.75" customHeight="1" x14ac:dyDescent="0.2">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row>
    <row r="390" spans="1:26" ht="12.75" customHeight="1" x14ac:dyDescent="0.2">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row>
    <row r="391" spans="1:26" ht="12.75" customHeight="1" x14ac:dyDescent="0.2">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row>
    <row r="392" spans="1:26" ht="12.75" customHeight="1" x14ac:dyDescent="0.2">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row>
    <row r="393" spans="1:26" ht="12.75" customHeight="1" x14ac:dyDescent="0.2">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row>
    <row r="394" spans="1:26" ht="12.75" customHeight="1" x14ac:dyDescent="0.2">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row>
    <row r="395" spans="1:26" ht="12.75" customHeight="1" x14ac:dyDescent="0.2">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row>
    <row r="396" spans="1:26" ht="12.75" customHeight="1" x14ac:dyDescent="0.2">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row>
    <row r="397" spans="1:26" ht="12.75" customHeight="1" x14ac:dyDescent="0.2">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row>
    <row r="398" spans="1:26" ht="12.75" customHeight="1" x14ac:dyDescent="0.2">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c r="Z398" s="116"/>
    </row>
    <row r="399" spans="1:26" ht="12.75" customHeight="1" x14ac:dyDescent="0.2">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c r="Z399" s="116"/>
    </row>
    <row r="400" spans="1:26" ht="12.75" customHeight="1" x14ac:dyDescent="0.2">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row>
    <row r="401" spans="1:26" ht="12.75" customHeight="1" x14ac:dyDescent="0.2">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row>
    <row r="402" spans="1:26" ht="12.75" customHeight="1" x14ac:dyDescent="0.2">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row>
    <row r="403" spans="1:26" ht="12.75" customHeight="1" x14ac:dyDescent="0.2">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row>
    <row r="404" spans="1:26" ht="12.75" customHeight="1" x14ac:dyDescent="0.2">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row>
    <row r="405" spans="1:26" ht="12.75" customHeight="1" x14ac:dyDescent="0.2">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row>
    <row r="406" spans="1:26" ht="12.75" customHeight="1" x14ac:dyDescent="0.2">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row>
    <row r="407" spans="1:26" ht="12.75" customHeight="1" x14ac:dyDescent="0.2">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row>
    <row r="408" spans="1:26" ht="12.75" customHeight="1" x14ac:dyDescent="0.2">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row>
    <row r="409" spans="1:26" ht="12.75" customHeight="1" x14ac:dyDescent="0.2">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row>
    <row r="410" spans="1:26" ht="12.75" customHeight="1" x14ac:dyDescent="0.2">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row>
    <row r="411" spans="1:26" ht="12.75" customHeight="1" x14ac:dyDescent="0.2">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row>
    <row r="412" spans="1:26" ht="12.75" customHeight="1" x14ac:dyDescent="0.2">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row>
    <row r="413" spans="1:26" ht="12.75" customHeight="1" x14ac:dyDescent="0.2">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row>
    <row r="414" spans="1:26" ht="12.75" customHeight="1" x14ac:dyDescent="0.2">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row>
    <row r="415" spans="1:26" ht="12.75" customHeight="1" x14ac:dyDescent="0.2">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row>
    <row r="416" spans="1:26" ht="12.75" customHeight="1" x14ac:dyDescent="0.2">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row>
    <row r="417" spans="1:26" ht="12.75" customHeight="1" x14ac:dyDescent="0.2">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row>
    <row r="418" spans="1:26" ht="12.75" customHeight="1" x14ac:dyDescent="0.2">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row>
    <row r="419" spans="1:26" ht="12.75" customHeight="1" x14ac:dyDescent="0.2">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row>
    <row r="420" spans="1:26" ht="12.75" customHeight="1" x14ac:dyDescent="0.2">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row>
    <row r="421" spans="1:26" ht="12.75" customHeight="1" x14ac:dyDescent="0.2">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row>
    <row r="422" spans="1:26" ht="12.75" customHeight="1" x14ac:dyDescent="0.2">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row>
    <row r="423" spans="1:26" ht="12.75" customHeight="1" x14ac:dyDescent="0.2">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row>
    <row r="424" spans="1:26" ht="12.75" customHeight="1" x14ac:dyDescent="0.2">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row>
    <row r="425" spans="1:26" ht="12.75" customHeight="1" x14ac:dyDescent="0.2">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row>
    <row r="426" spans="1:26" ht="12.75" customHeight="1" x14ac:dyDescent="0.2">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row>
    <row r="427" spans="1:26" ht="12.75" customHeight="1" x14ac:dyDescent="0.2">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row>
    <row r="428" spans="1:26" ht="12.75" customHeight="1" x14ac:dyDescent="0.2">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row>
    <row r="429" spans="1:26" ht="12.75" customHeight="1" x14ac:dyDescent="0.2">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row>
    <row r="430" spans="1:26" ht="12.75" customHeight="1" x14ac:dyDescent="0.2">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row>
    <row r="431" spans="1:26" ht="12.75" customHeight="1" x14ac:dyDescent="0.2">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row>
    <row r="432" spans="1:26" ht="12.75" customHeight="1" x14ac:dyDescent="0.2">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row>
    <row r="433" spans="1:26" ht="12.75" customHeight="1" x14ac:dyDescent="0.2">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row>
    <row r="434" spans="1:26" ht="12.75" customHeight="1" x14ac:dyDescent="0.2">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row>
    <row r="435" spans="1:26" ht="12.75" customHeight="1" x14ac:dyDescent="0.2">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row>
    <row r="436" spans="1:26" ht="12.75" customHeight="1" x14ac:dyDescent="0.2">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row>
    <row r="437" spans="1:26" ht="12.75" customHeight="1" x14ac:dyDescent="0.2">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row>
    <row r="438" spans="1:26" ht="12.75" customHeight="1" x14ac:dyDescent="0.2">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row>
    <row r="439" spans="1:26" ht="12.75" customHeight="1" x14ac:dyDescent="0.2">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row>
    <row r="440" spans="1:26" ht="12.75" customHeight="1" x14ac:dyDescent="0.2">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row>
    <row r="441" spans="1:26" ht="12.75" customHeight="1" x14ac:dyDescent="0.2">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row>
    <row r="442" spans="1:26" ht="12.75" customHeight="1" x14ac:dyDescent="0.2">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row>
    <row r="443" spans="1:26" ht="12.75" customHeight="1" x14ac:dyDescent="0.2">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row>
    <row r="444" spans="1:26" ht="12.75" customHeight="1" x14ac:dyDescent="0.2">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row>
    <row r="445" spans="1:26" ht="12.75" customHeight="1" x14ac:dyDescent="0.2">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row>
    <row r="446" spans="1:26" ht="12.75" customHeight="1" x14ac:dyDescent="0.2">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row>
    <row r="447" spans="1:26" ht="12.75" customHeight="1" x14ac:dyDescent="0.2">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row>
    <row r="448" spans="1:26" ht="12.75" customHeight="1" x14ac:dyDescent="0.2">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row>
    <row r="449" spans="1:26" ht="12.75" customHeight="1" x14ac:dyDescent="0.2">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row>
    <row r="450" spans="1:26" ht="12.75" customHeight="1" x14ac:dyDescent="0.2">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row>
    <row r="451" spans="1:26" ht="12.75" customHeight="1" x14ac:dyDescent="0.2">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row>
    <row r="452" spans="1:26" ht="12.75" customHeight="1" x14ac:dyDescent="0.2">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row>
    <row r="453" spans="1:26" ht="12.75" customHeight="1" x14ac:dyDescent="0.2">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row>
    <row r="454" spans="1:26" ht="12.75" customHeight="1" x14ac:dyDescent="0.2">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row>
    <row r="455" spans="1:26" ht="12.75" customHeight="1" x14ac:dyDescent="0.2">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row>
    <row r="456" spans="1:26" ht="12.75" customHeight="1" x14ac:dyDescent="0.2">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row>
    <row r="457" spans="1:26" ht="12.75" customHeight="1" x14ac:dyDescent="0.2">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row>
    <row r="458" spans="1:26" ht="12.75" customHeight="1" x14ac:dyDescent="0.2">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row>
    <row r="459" spans="1:26" ht="12.75" customHeight="1" x14ac:dyDescent="0.2">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row>
    <row r="460" spans="1:26" ht="12.75" customHeight="1" x14ac:dyDescent="0.2">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row>
    <row r="461" spans="1:26" ht="12.75" customHeight="1" x14ac:dyDescent="0.2">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row>
    <row r="462" spans="1:26" ht="12.75" customHeight="1" x14ac:dyDescent="0.2">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row>
    <row r="463" spans="1:26" ht="12.75" customHeight="1" x14ac:dyDescent="0.2">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row>
    <row r="464" spans="1:26" ht="12.75" customHeight="1" x14ac:dyDescent="0.2">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row>
    <row r="465" spans="1:26" ht="12.75" customHeight="1" x14ac:dyDescent="0.2">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row>
    <row r="466" spans="1:26" ht="12.75" customHeight="1" x14ac:dyDescent="0.2">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row>
    <row r="467" spans="1:26" ht="12.75" customHeight="1" x14ac:dyDescent="0.2">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row>
    <row r="468" spans="1:26" ht="12.75" customHeight="1" x14ac:dyDescent="0.2">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row>
    <row r="469" spans="1:26" ht="12.75" customHeight="1" x14ac:dyDescent="0.2">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row>
    <row r="470" spans="1:26" ht="12.75" customHeight="1" x14ac:dyDescent="0.2">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row>
    <row r="471" spans="1:26" ht="12.75" customHeight="1" x14ac:dyDescent="0.2">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row>
    <row r="472" spans="1:26" ht="12.75" customHeight="1" x14ac:dyDescent="0.2">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row>
    <row r="473" spans="1:26" ht="12.75" customHeight="1" x14ac:dyDescent="0.2">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row>
    <row r="474" spans="1:26" ht="12.75" customHeight="1" x14ac:dyDescent="0.2">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row>
    <row r="475" spans="1:26" ht="12.75" customHeight="1" x14ac:dyDescent="0.2">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row>
    <row r="476" spans="1:26" ht="12.75" customHeight="1" x14ac:dyDescent="0.2">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row>
    <row r="477" spans="1:26" ht="12.75" customHeight="1" x14ac:dyDescent="0.2">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row>
    <row r="478" spans="1:26" ht="12.75" customHeight="1" x14ac:dyDescent="0.2">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row>
    <row r="479" spans="1:26" ht="12.75" customHeight="1" x14ac:dyDescent="0.2">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row>
    <row r="480" spans="1:26" ht="12.75" customHeight="1" x14ac:dyDescent="0.2">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row>
    <row r="481" spans="1:26" ht="12.75" customHeight="1" x14ac:dyDescent="0.2">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row>
    <row r="482" spans="1:26" ht="12.75" customHeight="1" x14ac:dyDescent="0.2">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row>
    <row r="483" spans="1:26" ht="12.75" customHeight="1" x14ac:dyDescent="0.2">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row>
    <row r="484" spans="1:26" ht="12.75" customHeight="1" x14ac:dyDescent="0.2">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row>
    <row r="485" spans="1:26" ht="12.75" customHeight="1" x14ac:dyDescent="0.2">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row>
    <row r="486" spans="1:26" ht="12.75" customHeight="1" x14ac:dyDescent="0.2">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row>
    <row r="487" spans="1:26" ht="12.75" customHeight="1" x14ac:dyDescent="0.2">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row>
    <row r="488" spans="1:26" ht="12.75" customHeight="1" x14ac:dyDescent="0.2">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row>
    <row r="489" spans="1:26" ht="12.75" customHeight="1" x14ac:dyDescent="0.2">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row>
    <row r="490" spans="1:26" ht="12.75" customHeight="1" x14ac:dyDescent="0.2">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row>
    <row r="491" spans="1:26" ht="12.75" customHeight="1" x14ac:dyDescent="0.2">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row>
    <row r="492" spans="1:26" ht="12.75" customHeight="1" x14ac:dyDescent="0.2">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row>
    <row r="493" spans="1:26" ht="12.75" customHeight="1" x14ac:dyDescent="0.2">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row>
    <row r="494" spans="1:26" ht="12.75" customHeight="1" x14ac:dyDescent="0.2">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row>
    <row r="495" spans="1:26" ht="12.75" customHeight="1" x14ac:dyDescent="0.2">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row>
    <row r="496" spans="1:26" ht="12.75" customHeight="1" x14ac:dyDescent="0.2">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row>
    <row r="497" spans="1:26" ht="12.75" customHeight="1" x14ac:dyDescent="0.2">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row>
    <row r="498" spans="1:26" ht="12.75" customHeight="1" x14ac:dyDescent="0.2">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row>
    <row r="499" spans="1:26" ht="12.75" customHeight="1" x14ac:dyDescent="0.2">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row>
    <row r="500" spans="1:26" ht="12.75" customHeight="1" x14ac:dyDescent="0.2">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row>
    <row r="501" spans="1:26" ht="12.75" customHeight="1" x14ac:dyDescent="0.2">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row>
    <row r="502" spans="1:26" ht="12.75" customHeight="1" x14ac:dyDescent="0.2">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row>
    <row r="503" spans="1:26" ht="12.75" customHeight="1" x14ac:dyDescent="0.2">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row>
    <row r="504" spans="1:26" ht="12.75" customHeight="1" x14ac:dyDescent="0.2">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row>
    <row r="505" spans="1:26" ht="12.75" customHeight="1" x14ac:dyDescent="0.2">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row>
    <row r="506" spans="1:26" ht="12.75" customHeight="1" x14ac:dyDescent="0.2">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row>
    <row r="507" spans="1:26" ht="12.75" customHeight="1" x14ac:dyDescent="0.2">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row>
    <row r="508" spans="1:26" ht="12.75" customHeight="1" x14ac:dyDescent="0.2">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row>
    <row r="509" spans="1:26" ht="12.75" customHeight="1" x14ac:dyDescent="0.2">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row>
    <row r="510" spans="1:26" ht="12.75" customHeight="1" x14ac:dyDescent="0.2">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row>
    <row r="511" spans="1:26" ht="12.75" customHeight="1" x14ac:dyDescent="0.2">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row>
    <row r="512" spans="1:26" ht="12.75" customHeight="1" x14ac:dyDescent="0.2">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row>
    <row r="513" spans="1:26" ht="12.75" customHeight="1" x14ac:dyDescent="0.2">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row>
    <row r="514" spans="1:26" ht="12.75" customHeight="1" x14ac:dyDescent="0.2">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row>
    <row r="515" spans="1:26" ht="12.75" customHeight="1" x14ac:dyDescent="0.2">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row>
    <row r="516" spans="1:26" ht="12.75" customHeight="1" x14ac:dyDescent="0.2">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row>
    <row r="517" spans="1:26" ht="12.75" customHeight="1" x14ac:dyDescent="0.2">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row>
    <row r="518" spans="1:26" ht="12.75" customHeight="1" x14ac:dyDescent="0.2">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row>
    <row r="519" spans="1:26" ht="12.75" customHeight="1" x14ac:dyDescent="0.2">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row>
    <row r="520" spans="1:26" ht="12.75" customHeight="1" x14ac:dyDescent="0.2">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row>
    <row r="521" spans="1:26" ht="12.75" customHeight="1" x14ac:dyDescent="0.2">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row>
    <row r="522" spans="1:26" ht="12.75" customHeight="1" x14ac:dyDescent="0.2">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row>
    <row r="523" spans="1:26" ht="12.75" customHeight="1" x14ac:dyDescent="0.2">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row>
    <row r="524" spans="1:26" ht="12.75" customHeight="1" x14ac:dyDescent="0.2">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row>
    <row r="525" spans="1:26" ht="12.75" customHeight="1" x14ac:dyDescent="0.2">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row>
    <row r="526" spans="1:26" ht="12.75" customHeight="1" x14ac:dyDescent="0.2">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row>
    <row r="527" spans="1:26" ht="12.75" customHeight="1" x14ac:dyDescent="0.2">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row>
    <row r="528" spans="1:26" ht="12.75" customHeight="1" x14ac:dyDescent="0.2">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row>
    <row r="529" spans="1:26" ht="12.75" customHeight="1" x14ac:dyDescent="0.2">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row>
    <row r="530" spans="1:26" ht="12.75" customHeight="1" x14ac:dyDescent="0.2">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row>
    <row r="531" spans="1:26" ht="12.75" customHeight="1" x14ac:dyDescent="0.2">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row>
    <row r="532" spans="1:26" ht="12.75" customHeight="1" x14ac:dyDescent="0.2">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row>
    <row r="533" spans="1:26" ht="12.75" customHeight="1" x14ac:dyDescent="0.2">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row>
    <row r="534" spans="1:26" ht="12.75" customHeight="1" x14ac:dyDescent="0.2">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row>
    <row r="535" spans="1:26" ht="12.75" customHeight="1" x14ac:dyDescent="0.2">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row>
    <row r="536" spans="1:26" ht="12.75" customHeight="1" x14ac:dyDescent="0.2">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row>
    <row r="537" spans="1:26" ht="12.75" customHeight="1" x14ac:dyDescent="0.2">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row>
    <row r="538" spans="1:26" ht="12.75" customHeight="1" x14ac:dyDescent="0.2">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row>
    <row r="539" spans="1:26" ht="12.75" customHeight="1" x14ac:dyDescent="0.2">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row>
    <row r="540" spans="1:26" ht="12.75" customHeight="1" x14ac:dyDescent="0.2">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row>
    <row r="541" spans="1:26" ht="12.75" customHeight="1" x14ac:dyDescent="0.2">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row>
    <row r="542" spans="1:26" ht="12.75" customHeight="1" x14ac:dyDescent="0.2">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row>
    <row r="543" spans="1:26" ht="12.75" customHeight="1" x14ac:dyDescent="0.2">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row>
    <row r="544" spans="1:26" ht="12.75" customHeight="1" x14ac:dyDescent="0.2">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row>
    <row r="545" spans="1:26" ht="12.75" customHeight="1" x14ac:dyDescent="0.2">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row>
    <row r="546" spans="1:26" ht="12.75" customHeight="1" x14ac:dyDescent="0.2">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row>
    <row r="547" spans="1:26" ht="12.75" customHeight="1" x14ac:dyDescent="0.2">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row>
    <row r="548" spans="1:26" ht="12.75" customHeight="1" x14ac:dyDescent="0.2">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row>
    <row r="549" spans="1:26" ht="12.75" customHeight="1" x14ac:dyDescent="0.2">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row>
    <row r="550" spans="1:26" ht="12.75" customHeight="1" x14ac:dyDescent="0.2">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row>
    <row r="551" spans="1:26" ht="12.75" customHeight="1" x14ac:dyDescent="0.2">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row>
    <row r="552" spans="1:26" ht="12.75" customHeight="1" x14ac:dyDescent="0.2">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row>
    <row r="553" spans="1:26" ht="12.75" customHeight="1" x14ac:dyDescent="0.2">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row>
    <row r="554" spans="1:26" ht="12.75" customHeight="1" x14ac:dyDescent="0.2">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row>
    <row r="555" spans="1:26" ht="12.75" customHeight="1" x14ac:dyDescent="0.2">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row>
    <row r="556" spans="1:26" ht="12.75" customHeight="1" x14ac:dyDescent="0.2">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row>
    <row r="557" spans="1:26" ht="12.75" customHeight="1" x14ac:dyDescent="0.2">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row>
    <row r="558" spans="1:26" ht="12.75" customHeight="1" x14ac:dyDescent="0.2">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row>
    <row r="559" spans="1:26" ht="12.75" customHeight="1" x14ac:dyDescent="0.2">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row>
    <row r="560" spans="1:26" ht="12.75" customHeight="1" x14ac:dyDescent="0.2">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row>
    <row r="561" spans="1:26" ht="12.75" customHeight="1" x14ac:dyDescent="0.2">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row>
    <row r="562" spans="1:26" ht="12.75" customHeight="1" x14ac:dyDescent="0.2">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row>
    <row r="563" spans="1:26" ht="12.75" customHeight="1" x14ac:dyDescent="0.2">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row>
    <row r="564" spans="1:26" ht="12.75" customHeight="1" x14ac:dyDescent="0.2">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row>
    <row r="565" spans="1:26" ht="12.75" customHeight="1" x14ac:dyDescent="0.2">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row>
    <row r="566" spans="1:26" ht="12.75" customHeight="1" x14ac:dyDescent="0.2">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row>
    <row r="567" spans="1:26" ht="12.75" customHeight="1" x14ac:dyDescent="0.2">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row>
    <row r="568" spans="1:26" ht="12.75" customHeight="1" x14ac:dyDescent="0.2">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row>
    <row r="569" spans="1:26" ht="12.75" customHeight="1" x14ac:dyDescent="0.2">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row>
    <row r="570" spans="1:26" ht="12.75" customHeight="1" x14ac:dyDescent="0.2">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row>
    <row r="571" spans="1:26" ht="12.75" customHeight="1" x14ac:dyDescent="0.2">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row>
    <row r="572" spans="1:26" ht="12.75" customHeight="1" x14ac:dyDescent="0.2">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row>
    <row r="573" spans="1:26" ht="12.75" customHeight="1" x14ac:dyDescent="0.2">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row>
    <row r="574" spans="1:26" ht="12.75" customHeight="1" x14ac:dyDescent="0.2">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row>
    <row r="575" spans="1:26" ht="12.75" customHeight="1" x14ac:dyDescent="0.2">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row>
    <row r="576" spans="1:26" ht="12.75" customHeight="1" x14ac:dyDescent="0.2">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row>
    <row r="577" spans="1:26" ht="12.75" customHeight="1" x14ac:dyDescent="0.2">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row>
    <row r="578" spans="1:26" ht="12.75" customHeight="1" x14ac:dyDescent="0.2">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row>
    <row r="579" spans="1:26" ht="12.75" customHeight="1" x14ac:dyDescent="0.2">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row>
    <row r="580" spans="1:26" ht="12.75" customHeight="1" x14ac:dyDescent="0.2">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row>
    <row r="581" spans="1:26" ht="12.75" customHeight="1" x14ac:dyDescent="0.2">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row>
    <row r="582" spans="1:26" ht="12.75" customHeight="1" x14ac:dyDescent="0.2">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row>
    <row r="583" spans="1:26" ht="12.75" customHeight="1" x14ac:dyDescent="0.2">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row>
    <row r="584" spans="1:26" ht="12.75" customHeight="1" x14ac:dyDescent="0.2">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row>
    <row r="585" spans="1:26" ht="12.75" customHeight="1" x14ac:dyDescent="0.2">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row>
    <row r="586" spans="1:26" ht="12.75" customHeight="1" x14ac:dyDescent="0.2">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row>
    <row r="587" spans="1:26" ht="12.75" customHeight="1" x14ac:dyDescent="0.2">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row>
    <row r="588" spans="1:26" ht="12.75" customHeight="1" x14ac:dyDescent="0.2">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row>
    <row r="589" spans="1:26" ht="12.75" customHeight="1" x14ac:dyDescent="0.2">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row>
    <row r="590" spans="1:26" ht="12.75" customHeight="1" x14ac:dyDescent="0.2">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row>
    <row r="591" spans="1:26" ht="12.75" customHeight="1" x14ac:dyDescent="0.2">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row>
    <row r="592" spans="1:26" ht="12.75" customHeight="1" x14ac:dyDescent="0.2">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row>
    <row r="593" spans="1:26" ht="12.75" customHeight="1" x14ac:dyDescent="0.2">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row>
    <row r="594" spans="1:26" ht="12.75" customHeight="1" x14ac:dyDescent="0.2">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row>
    <row r="595" spans="1:26" ht="12.75" customHeight="1" x14ac:dyDescent="0.2">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c r="Z595" s="116"/>
    </row>
    <row r="596" spans="1:26" ht="12.75" customHeight="1" x14ac:dyDescent="0.2">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c r="Z596" s="116"/>
    </row>
    <row r="597" spans="1:26" ht="12.75" customHeight="1" x14ac:dyDescent="0.2">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c r="Z597" s="116"/>
    </row>
    <row r="598" spans="1:26" ht="12.75" customHeight="1" x14ac:dyDescent="0.2">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row>
    <row r="599" spans="1:26" ht="12.75" customHeight="1" x14ac:dyDescent="0.2">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row>
    <row r="600" spans="1:26" ht="12.75" customHeight="1" x14ac:dyDescent="0.2">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row>
    <row r="601" spans="1:26" ht="12.75" customHeight="1" x14ac:dyDescent="0.2">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row>
    <row r="602" spans="1:26" ht="12.75" customHeight="1" x14ac:dyDescent="0.2">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row>
    <row r="603" spans="1:26" ht="12.75" customHeight="1" x14ac:dyDescent="0.2">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row>
    <row r="604" spans="1:26" ht="12.75" customHeight="1" x14ac:dyDescent="0.2">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row>
    <row r="605" spans="1:26" ht="12.75" customHeight="1" x14ac:dyDescent="0.2">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row>
    <row r="606" spans="1:26" ht="12.75" customHeight="1" x14ac:dyDescent="0.2">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row>
    <row r="607" spans="1:26" ht="12.75" customHeight="1" x14ac:dyDescent="0.2">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row>
    <row r="608" spans="1:26" ht="12.75" customHeight="1" x14ac:dyDescent="0.2">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row>
    <row r="609" spans="1:26" ht="12.75" customHeight="1" x14ac:dyDescent="0.2">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row>
    <row r="610" spans="1:26" ht="12.75" customHeight="1" x14ac:dyDescent="0.2">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row>
    <row r="611" spans="1:26" ht="12.75" customHeight="1" x14ac:dyDescent="0.2">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row>
    <row r="612" spans="1:26" ht="12.75" customHeight="1" x14ac:dyDescent="0.2">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row>
    <row r="613" spans="1:26" ht="12.75" customHeight="1" x14ac:dyDescent="0.2">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row>
    <row r="614" spans="1:26" ht="12.75" customHeight="1" x14ac:dyDescent="0.2">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row>
    <row r="615" spans="1:26" ht="12.75" customHeight="1" x14ac:dyDescent="0.2">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row>
    <row r="616" spans="1:26" ht="12.75" customHeight="1" x14ac:dyDescent="0.2">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row>
    <row r="617" spans="1:26" ht="12.75" customHeight="1" x14ac:dyDescent="0.2">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row>
    <row r="618" spans="1:26" ht="12.75" customHeight="1" x14ac:dyDescent="0.2">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row>
    <row r="619" spans="1:26" ht="12.75" customHeight="1" x14ac:dyDescent="0.2">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row>
    <row r="620" spans="1:26" ht="12.75" customHeight="1" x14ac:dyDescent="0.2">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row>
    <row r="621" spans="1:26" ht="12.75" customHeight="1" x14ac:dyDescent="0.2">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row>
    <row r="622" spans="1:26" ht="12.75" customHeight="1" x14ac:dyDescent="0.2">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row>
    <row r="623" spans="1:26" ht="12.75" customHeight="1" x14ac:dyDescent="0.2">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row>
    <row r="624" spans="1:26" ht="12.75" customHeight="1" x14ac:dyDescent="0.2">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row>
    <row r="625" spans="1:26" ht="12.75" customHeight="1" x14ac:dyDescent="0.2">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row>
    <row r="626" spans="1:26" ht="12.75" customHeight="1" x14ac:dyDescent="0.2">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row>
    <row r="627" spans="1:26" ht="12.75" customHeight="1" x14ac:dyDescent="0.2">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row>
    <row r="628" spans="1:26" ht="12.75" customHeight="1" x14ac:dyDescent="0.2">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c r="Z628" s="116"/>
    </row>
    <row r="629" spans="1:26" ht="12.75" customHeight="1" x14ac:dyDescent="0.2">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c r="Z629" s="116"/>
    </row>
    <row r="630" spans="1:26" ht="12.75" customHeight="1" x14ac:dyDescent="0.2">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c r="Z630" s="116"/>
    </row>
    <row r="631" spans="1:26" ht="12.75" customHeight="1" x14ac:dyDescent="0.2">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row>
    <row r="632" spans="1:26" ht="12.75" customHeight="1" x14ac:dyDescent="0.2">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row>
    <row r="633" spans="1:26" ht="12.75" customHeight="1" x14ac:dyDescent="0.2">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row>
    <row r="634" spans="1:26" ht="12.75" customHeight="1" x14ac:dyDescent="0.2">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row>
    <row r="635" spans="1:26" ht="12.75" customHeight="1" x14ac:dyDescent="0.2">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row>
    <row r="636" spans="1:26" ht="12.75" customHeight="1" x14ac:dyDescent="0.2">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row>
    <row r="637" spans="1:26" ht="12.75" customHeight="1" x14ac:dyDescent="0.2">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row>
    <row r="638" spans="1:26" ht="12.75" customHeight="1" x14ac:dyDescent="0.2">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row>
    <row r="639" spans="1:26" ht="12.75" customHeight="1" x14ac:dyDescent="0.2">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row>
    <row r="640" spans="1:26" ht="12.75" customHeight="1" x14ac:dyDescent="0.2">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row>
    <row r="641" spans="1:26" ht="12.75" customHeight="1" x14ac:dyDescent="0.2">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row>
    <row r="642" spans="1:26" ht="12.75" customHeight="1" x14ac:dyDescent="0.2">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row>
    <row r="643" spans="1:26" ht="12.75" customHeight="1" x14ac:dyDescent="0.2">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row>
    <row r="644" spans="1:26" ht="12.75" customHeight="1" x14ac:dyDescent="0.2">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row>
    <row r="645" spans="1:26" ht="12.75" customHeight="1" x14ac:dyDescent="0.2">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row>
    <row r="646" spans="1:26" ht="12.75" customHeight="1" x14ac:dyDescent="0.2">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row>
    <row r="647" spans="1:26" ht="12.75" customHeight="1" x14ac:dyDescent="0.2">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row>
    <row r="648" spans="1:26" ht="12.75" customHeight="1" x14ac:dyDescent="0.2">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row>
    <row r="649" spans="1:26" ht="12.75" customHeight="1" x14ac:dyDescent="0.2">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row>
    <row r="650" spans="1:26" ht="12.75" customHeight="1" x14ac:dyDescent="0.2">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row>
    <row r="651" spans="1:26" ht="12.75" customHeight="1" x14ac:dyDescent="0.2">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row>
    <row r="652" spans="1:26" ht="12.75" customHeight="1" x14ac:dyDescent="0.2">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row>
    <row r="653" spans="1:26" ht="12.75" customHeight="1" x14ac:dyDescent="0.2">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row>
    <row r="654" spans="1:26" ht="12.75" customHeight="1" x14ac:dyDescent="0.2">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row>
    <row r="655" spans="1:26" ht="12.75" customHeight="1" x14ac:dyDescent="0.2">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row>
    <row r="656" spans="1:26" ht="12.75" customHeight="1" x14ac:dyDescent="0.2">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row>
    <row r="657" spans="1:26" ht="12.75" customHeight="1" x14ac:dyDescent="0.2">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row>
    <row r="658" spans="1:26" ht="12.75" customHeight="1" x14ac:dyDescent="0.2">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row>
    <row r="659" spans="1:26" ht="12.75" customHeight="1" x14ac:dyDescent="0.2">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row>
    <row r="660" spans="1:26" ht="12.75" customHeight="1" x14ac:dyDescent="0.2">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row>
    <row r="661" spans="1:26" ht="12.75" customHeight="1" x14ac:dyDescent="0.2">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row>
    <row r="662" spans="1:26" ht="12.75" customHeight="1" x14ac:dyDescent="0.2">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row>
    <row r="663" spans="1:26" ht="12.75" customHeight="1" x14ac:dyDescent="0.2">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row>
    <row r="664" spans="1:26" ht="12.75" customHeight="1" x14ac:dyDescent="0.2">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row>
    <row r="665" spans="1:26" ht="12.75" customHeight="1" x14ac:dyDescent="0.2">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row>
    <row r="666" spans="1:26" ht="12.75" customHeight="1" x14ac:dyDescent="0.2">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row>
    <row r="667" spans="1:26" ht="12.75" customHeight="1" x14ac:dyDescent="0.2">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row>
    <row r="668" spans="1:26" ht="12.75" customHeight="1" x14ac:dyDescent="0.2">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row>
    <row r="669" spans="1:26" ht="12.75" customHeight="1" x14ac:dyDescent="0.2">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row>
    <row r="670" spans="1:26" ht="12.75" customHeight="1" x14ac:dyDescent="0.2">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row>
    <row r="671" spans="1:26" ht="12.75" customHeight="1" x14ac:dyDescent="0.2">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row>
    <row r="672" spans="1:26" ht="12.75" customHeight="1" x14ac:dyDescent="0.2">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row>
    <row r="673" spans="1:26" ht="12.75" customHeight="1" x14ac:dyDescent="0.2">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row>
    <row r="674" spans="1:26" ht="12.75" customHeight="1" x14ac:dyDescent="0.2">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row>
    <row r="675" spans="1:26" ht="12.75" customHeight="1" x14ac:dyDescent="0.2">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row>
    <row r="676" spans="1:26" ht="12.75" customHeight="1" x14ac:dyDescent="0.2">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row>
    <row r="677" spans="1:26" ht="12.75" customHeight="1" x14ac:dyDescent="0.2">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row>
    <row r="678" spans="1:26" ht="12.75" customHeight="1" x14ac:dyDescent="0.2">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row>
    <row r="679" spans="1:26" ht="12.75" customHeight="1" x14ac:dyDescent="0.2">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row>
    <row r="680" spans="1:26" ht="12.75" customHeight="1" x14ac:dyDescent="0.2">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row>
    <row r="681" spans="1:26" ht="12.75" customHeight="1" x14ac:dyDescent="0.2">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row>
    <row r="682" spans="1:26" ht="12.75" customHeight="1" x14ac:dyDescent="0.2">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row>
    <row r="683" spans="1:26" ht="12.75" customHeight="1" x14ac:dyDescent="0.2">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row>
    <row r="684" spans="1:26" ht="12.75" customHeight="1" x14ac:dyDescent="0.2">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row>
    <row r="685" spans="1:26" ht="12.75" customHeight="1" x14ac:dyDescent="0.2">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row>
    <row r="686" spans="1:26" ht="12.75" customHeight="1" x14ac:dyDescent="0.2">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row>
    <row r="687" spans="1:26" ht="12.75" customHeight="1" x14ac:dyDescent="0.2">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row>
    <row r="688" spans="1:26" ht="12.75" customHeight="1" x14ac:dyDescent="0.2">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row>
    <row r="689" spans="1:26" ht="12.75" customHeight="1" x14ac:dyDescent="0.2">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row>
    <row r="690" spans="1:26" ht="12.75" customHeight="1" x14ac:dyDescent="0.2">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row>
    <row r="691" spans="1:26" ht="12.75" customHeight="1" x14ac:dyDescent="0.2">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row>
    <row r="692" spans="1:26" ht="12.75" customHeight="1" x14ac:dyDescent="0.2">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row>
    <row r="693" spans="1:26" ht="12.75" customHeight="1" x14ac:dyDescent="0.2">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row>
    <row r="694" spans="1:26" ht="12.75" customHeight="1" x14ac:dyDescent="0.2">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row>
    <row r="695" spans="1:26" ht="12.75" customHeight="1" x14ac:dyDescent="0.2">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row>
    <row r="696" spans="1:26" ht="12.75" customHeight="1" x14ac:dyDescent="0.2">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row>
    <row r="697" spans="1:26" ht="12.75" customHeight="1" x14ac:dyDescent="0.2">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row>
    <row r="698" spans="1:26" ht="12.75" customHeight="1" x14ac:dyDescent="0.2">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row>
    <row r="699" spans="1:26" ht="12.75" customHeight="1" x14ac:dyDescent="0.2">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row>
    <row r="700" spans="1:26" ht="12.75" customHeight="1" x14ac:dyDescent="0.2">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row>
    <row r="701" spans="1:26" ht="12.75" customHeight="1" x14ac:dyDescent="0.2">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row>
    <row r="702" spans="1:26" ht="12.75" customHeight="1" x14ac:dyDescent="0.2">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row>
    <row r="703" spans="1:26" ht="12.75" customHeight="1" x14ac:dyDescent="0.2">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row>
    <row r="704" spans="1:26" ht="12.75" customHeight="1" x14ac:dyDescent="0.2">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row>
    <row r="705" spans="1:26" ht="12.75" customHeight="1" x14ac:dyDescent="0.2">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row>
    <row r="706" spans="1:26" ht="12.75" customHeight="1" x14ac:dyDescent="0.2">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row>
    <row r="707" spans="1:26" ht="12.75" customHeight="1" x14ac:dyDescent="0.2">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row>
    <row r="708" spans="1:26" ht="12.75" customHeight="1" x14ac:dyDescent="0.2">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row>
    <row r="709" spans="1:26" ht="12.75" customHeight="1" x14ac:dyDescent="0.2">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row>
    <row r="710" spans="1:26" ht="12.75" customHeight="1" x14ac:dyDescent="0.2">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row>
    <row r="711" spans="1:26" ht="12.75" customHeight="1" x14ac:dyDescent="0.2">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row>
    <row r="712" spans="1:26" ht="12.75" customHeight="1" x14ac:dyDescent="0.2">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row>
    <row r="713" spans="1:26" ht="12.75" customHeight="1" x14ac:dyDescent="0.2">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row>
    <row r="714" spans="1:26" ht="12.75" customHeight="1" x14ac:dyDescent="0.2">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row>
    <row r="715" spans="1:26" ht="12.75" customHeight="1" x14ac:dyDescent="0.2">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row>
    <row r="716" spans="1:26" ht="12.75" customHeight="1" x14ac:dyDescent="0.2">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row>
    <row r="717" spans="1:26" ht="12.75" customHeight="1" x14ac:dyDescent="0.2">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row>
    <row r="718" spans="1:26" ht="12.75" customHeight="1" x14ac:dyDescent="0.2">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row>
    <row r="719" spans="1:26" ht="12.75" customHeight="1" x14ac:dyDescent="0.2">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row>
    <row r="720" spans="1:26" ht="12.75" customHeight="1" x14ac:dyDescent="0.2">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row>
    <row r="721" spans="1:26" ht="12.75" customHeight="1" x14ac:dyDescent="0.2">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row>
    <row r="722" spans="1:26" ht="12.75" customHeight="1" x14ac:dyDescent="0.2">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row>
    <row r="723" spans="1:26" ht="12.75" customHeight="1" x14ac:dyDescent="0.2">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row>
    <row r="724" spans="1:26" ht="12.75" customHeight="1" x14ac:dyDescent="0.2">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row>
    <row r="725" spans="1:26" ht="12.75" customHeight="1" x14ac:dyDescent="0.2">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row>
    <row r="726" spans="1:26" ht="12.75" customHeight="1" x14ac:dyDescent="0.2">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row>
    <row r="727" spans="1:26" ht="12.75" customHeight="1" x14ac:dyDescent="0.2">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c r="Z727" s="116"/>
    </row>
    <row r="728" spans="1:26" ht="12.75" customHeight="1" x14ac:dyDescent="0.2">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c r="Z728" s="116"/>
    </row>
    <row r="729" spans="1:26" ht="12.75" customHeight="1" x14ac:dyDescent="0.2">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c r="Z729" s="116"/>
    </row>
    <row r="730" spans="1:26" ht="12.75" customHeight="1" x14ac:dyDescent="0.2">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row>
    <row r="731" spans="1:26" ht="12.75" customHeight="1" x14ac:dyDescent="0.2">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row>
    <row r="732" spans="1:26" ht="12.75" customHeight="1" x14ac:dyDescent="0.2">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row>
    <row r="733" spans="1:26" ht="12.75" customHeight="1" x14ac:dyDescent="0.2">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row>
    <row r="734" spans="1:26" ht="12.75" customHeight="1" x14ac:dyDescent="0.2">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row>
    <row r="735" spans="1:26" ht="12.75" customHeight="1" x14ac:dyDescent="0.2">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row>
    <row r="736" spans="1:26" ht="12.75" customHeight="1" x14ac:dyDescent="0.2">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row>
    <row r="737" spans="1:26" ht="12.75" customHeight="1" x14ac:dyDescent="0.2">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row>
    <row r="738" spans="1:26" ht="12.75" customHeight="1" x14ac:dyDescent="0.2">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row>
    <row r="739" spans="1:26" ht="12.75" customHeight="1" x14ac:dyDescent="0.2">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row>
    <row r="740" spans="1:26" ht="12.75" customHeight="1" x14ac:dyDescent="0.2">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row>
    <row r="741" spans="1:26" ht="12.75" customHeight="1" x14ac:dyDescent="0.2">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row>
    <row r="742" spans="1:26" ht="12.75" customHeight="1" x14ac:dyDescent="0.2">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row>
    <row r="743" spans="1:26" ht="12.75" customHeight="1" x14ac:dyDescent="0.2">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row>
    <row r="744" spans="1:26" ht="12.75" customHeight="1" x14ac:dyDescent="0.2">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row>
    <row r="745" spans="1:26" ht="12.75" customHeight="1" x14ac:dyDescent="0.2">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row>
    <row r="746" spans="1:26" ht="12.75" customHeight="1" x14ac:dyDescent="0.2">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row>
    <row r="747" spans="1:26" ht="12.75" customHeight="1" x14ac:dyDescent="0.2">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row>
    <row r="748" spans="1:26" ht="12.75" customHeight="1" x14ac:dyDescent="0.2">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row>
    <row r="749" spans="1:26" ht="12.75" customHeight="1" x14ac:dyDescent="0.2">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row>
    <row r="750" spans="1:26" ht="12.75" customHeight="1" x14ac:dyDescent="0.2">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row>
    <row r="751" spans="1:26" ht="12.75" customHeight="1" x14ac:dyDescent="0.2">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row>
    <row r="752" spans="1:26" ht="12.75" customHeight="1" x14ac:dyDescent="0.2">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row>
    <row r="753" spans="1:26" ht="12.75" customHeight="1" x14ac:dyDescent="0.2">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row>
    <row r="754" spans="1:26" ht="12.75" customHeight="1" x14ac:dyDescent="0.2">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row>
    <row r="755" spans="1:26" ht="12.75" customHeight="1" x14ac:dyDescent="0.2">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row>
    <row r="756" spans="1:26" ht="12.75" customHeight="1" x14ac:dyDescent="0.2">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row>
    <row r="757" spans="1:26" ht="12.75" customHeight="1" x14ac:dyDescent="0.2">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row>
    <row r="758" spans="1:26" ht="12.75" customHeight="1" x14ac:dyDescent="0.2">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row>
    <row r="759" spans="1:26" ht="12.75" customHeight="1" x14ac:dyDescent="0.2">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row>
    <row r="760" spans="1:26" ht="12.75" customHeight="1" x14ac:dyDescent="0.2">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c r="Z760" s="116"/>
    </row>
    <row r="761" spans="1:26" ht="12.75" customHeight="1" x14ac:dyDescent="0.2">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c r="Z761" s="116"/>
    </row>
    <row r="762" spans="1:26" ht="12.75" customHeight="1" x14ac:dyDescent="0.2">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c r="Z762" s="116"/>
    </row>
    <row r="763" spans="1:26" ht="12.75" customHeight="1" x14ac:dyDescent="0.2">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row>
    <row r="764" spans="1:26" ht="12.75" customHeight="1" x14ac:dyDescent="0.2">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row>
    <row r="765" spans="1:26" ht="12.75" customHeight="1" x14ac:dyDescent="0.2">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row>
    <row r="766" spans="1:26" ht="12.75" customHeight="1" x14ac:dyDescent="0.2">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row>
    <row r="767" spans="1:26" ht="12.75" customHeight="1" x14ac:dyDescent="0.2">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row>
    <row r="768" spans="1:26" ht="12.75" customHeight="1" x14ac:dyDescent="0.2">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row>
    <row r="769" spans="1:26" ht="12.75" customHeight="1" x14ac:dyDescent="0.2">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row>
    <row r="770" spans="1:26" ht="12.75" customHeight="1" x14ac:dyDescent="0.2">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row>
    <row r="771" spans="1:26" ht="12.75" customHeight="1" x14ac:dyDescent="0.2">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row>
    <row r="772" spans="1:26" ht="12.75" customHeight="1" x14ac:dyDescent="0.2">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row>
    <row r="773" spans="1:26" ht="12.75" customHeight="1" x14ac:dyDescent="0.2">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row>
    <row r="774" spans="1:26" ht="12.75" customHeight="1" x14ac:dyDescent="0.2">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row>
    <row r="775" spans="1:26" ht="12.75" customHeight="1" x14ac:dyDescent="0.2">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row>
    <row r="776" spans="1:26" ht="12.75" customHeight="1" x14ac:dyDescent="0.2">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row>
    <row r="777" spans="1:26" ht="12.75" customHeight="1" x14ac:dyDescent="0.2">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row>
    <row r="778" spans="1:26" ht="12.75" customHeight="1" x14ac:dyDescent="0.2">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row>
    <row r="779" spans="1:26" ht="12.75" customHeight="1" x14ac:dyDescent="0.2">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row>
    <row r="780" spans="1:26" ht="12.75" customHeight="1" x14ac:dyDescent="0.2">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row>
    <row r="781" spans="1:26" ht="12.75" customHeight="1" x14ac:dyDescent="0.2">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row>
    <row r="782" spans="1:26" ht="12.75" customHeight="1" x14ac:dyDescent="0.2">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row>
    <row r="783" spans="1:26" ht="12.75" customHeight="1" x14ac:dyDescent="0.2">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row>
    <row r="784" spans="1:26" ht="12.75" customHeight="1" x14ac:dyDescent="0.2">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row>
    <row r="785" spans="1:26" ht="12.75" customHeight="1" x14ac:dyDescent="0.2">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row>
    <row r="786" spans="1:26" ht="12.75" customHeight="1" x14ac:dyDescent="0.2">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row>
    <row r="787" spans="1:26" ht="12.75" customHeight="1" x14ac:dyDescent="0.2">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row>
    <row r="788" spans="1:26" ht="12.75" customHeight="1" x14ac:dyDescent="0.2">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row>
    <row r="789" spans="1:26" ht="12.75" customHeight="1" x14ac:dyDescent="0.2">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row>
    <row r="790" spans="1:26" ht="12.75" customHeight="1" x14ac:dyDescent="0.2">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row>
    <row r="791" spans="1:26" ht="12.75" customHeight="1" x14ac:dyDescent="0.2">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row>
    <row r="792" spans="1:26" ht="12.75" customHeight="1" x14ac:dyDescent="0.2">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row>
    <row r="793" spans="1:26" ht="12.75" customHeight="1" x14ac:dyDescent="0.2">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c r="Z793" s="116"/>
    </row>
    <row r="794" spans="1:26" ht="12.75" customHeight="1" x14ac:dyDescent="0.2">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row>
    <row r="795" spans="1:26" ht="12.75" customHeight="1" x14ac:dyDescent="0.2">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c r="Z795" s="116"/>
    </row>
    <row r="796" spans="1:26" ht="12.75" customHeight="1" x14ac:dyDescent="0.2">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row>
    <row r="797" spans="1:26" ht="12.75" customHeight="1" x14ac:dyDescent="0.2">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row>
    <row r="798" spans="1:26" ht="12.75" customHeight="1" x14ac:dyDescent="0.2">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row>
    <row r="799" spans="1:26" ht="12.75" customHeight="1" x14ac:dyDescent="0.2">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row>
    <row r="800" spans="1:26" ht="12.75" customHeight="1" x14ac:dyDescent="0.2">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row>
    <row r="801" spans="1:26" ht="12.75" customHeight="1" x14ac:dyDescent="0.2">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row>
    <row r="802" spans="1:26" ht="12.75" customHeight="1" x14ac:dyDescent="0.2">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row>
    <row r="803" spans="1:26" ht="12.75" customHeight="1" x14ac:dyDescent="0.2">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row>
    <row r="804" spans="1:26" ht="12.75" customHeight="1" x14ac:dyDescent="0.2">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row>
    <row r="805" spans="1:26" ht="12.75" customHeight="1" x14ac:dyDescent="0.2">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row>
    <row r="806" spans="1:26" ht="12.75" customHeight="1" x14ac:dyDescent="0.2">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row>
    <row r="807" spans="1:26" ht="12.75" customHeight="1" x14ac:dyDescent="0.2">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row>
    <row r="808" spans="1:26" ht="12.75" customHeight="1" x14ac:dyDescent="0.2">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row>
    <row r="809" spans="1:26" ht="12.75" customHeight="1" x14ac:dyDescent="0.2">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row>
    <row r="810" spans="1:26" ht="12.75" customHeight="1" x14ac:dyDescent="0.2">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row>
    <row r="811" spans="1:26" ht="12.75" customHeight="1" x14ac:dyDescent="0.2">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row>
    <row r="812" spans="1:26" ht="12.75" customHeight="1" x14ac:dyDescent="0.2">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row>
    <row r="813" spans="1:26" ht="12.75" customHeight="1" x14ac:dyDescent="0.2">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row>
    <row r="814" spans="1:26" ht="12.75" customHeight="1" x14ac:dyDescent="0.2">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row>
    <row r="815" spans="1:26" ht="12.75" customHeight="1" x14ac:dyDescent="0.2">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row>
    <row r="816" spans="1:26" ht="12.75" customHeight="1" x14ac:dyDescent="0.2">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row>
    <row r="817" spans="1:26" ht="12.75" customHeight="1" x14ac:dyDescent="0.2">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row>
    <row r="818" spans="1:26" ht="12.75" customHeight="1" x14ac:dyDescent="0.2">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row>
    <row r="819" spans="1:26" ht="12.75" customHeight="1" x14ac:dyDescent="0.2">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row>
    <row r="820" spans="1:26" ht="12.75" customHeight="1" x14ac:dyDescent="0.2">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row>
    <row r="821" spans="1:26" ht="12.75" customHeight="1" x14ac:dyDescent="0.2">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row>
    <row r="822" spans="1:26" ht="12.75" customHeight="1" x14ac:dyDescent="0.2">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row>
    <row r="823" spans="1:26" ht="12.75" customHeight="1" x14ac:dyDescent="0.2">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row>
    <row r="824" spans="1:26" ht="12.75" customHeight="1" x14ac:dyDescent="0.2">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row>
    <row r="825" spans="1:26" ht="12.75" customHeight="1" x14ac:dyDescent="0.2">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row>
    <row r="826" spans="1:26" ht="12.75" customHeight="1" x14ac:dyDescent="0.2">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row>
    <row r="827" spans="1:26" ht="12.75" customHeight="1" x14ac:dyDescent="0.2">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row>
    <row r="828" spans="1:26" ht="12.75" customHeight="1" x14ac:dyDescent="0.2">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row>
    <row r="829" spans="1:26" ht="12.75" customHeight="1" x14ac:dyDescent="0.2">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row>
    <row r="830" spans="1:26" ht="12.75" customHeight="1" x14ac:dyDescent="0.2">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row>
    <row r="831" spans="1:26" ht="12.75" customHeight="1" x14ac:dyDescent="0.2">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row>
    <row r="832" spans="1:26" ht="12.75" customHeight="1" x14ac:dyDescent="0.2">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row>
    <row r="833" spans="1:26" ht="12.75" customHeight="1" x14ac:dyDescent="0.2">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row>
    <row r="834" spans="1:26" ht="12.75" customHeight="1" x14ac:dyDescent="0.2">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row>
    <row r="835" spans="1:26" ht="12.75" customHeight="1" x14ac:dyDescent="0.2">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row>
    <row r="836" spans="1:26" ht="12.75" customHeight="1" x14ac:dyDescent="0.2">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row>
    <row r="837" spans="1:26" ht="12.75" customHeight="1" x14ac:dyDescent="0.2">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row>
    <row r="838" spans="1:26" ht="12.75" customHeight="1" x14ac:dyDescent="0.2">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row>
    <row r="839" spans="1:26" ht="12.75" customHeight="1" x14ac:dyDescent="0.2">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row>
    <row r="840" spans="1:26" ht="12.75" customHeight="1" x14ac:dyDescent="0.2">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row>
    <row r="841" spans="1:26" ht="12.75" customHeight="1" x14ac:dyDescent="0.2">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row>
    <row r="842" spans="1:26" ht="12.75" customHeight="1" x14ac:dyDescent="0.2">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row>
    <row r="843" spans="1:26" ht="12.75" customHeight="1" x14ac:dyDescent="0.2">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row>
    <row r="844" spans="1:26" ht="12.75" customHeight="1" x14ac:dyDescent="0.2">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row>
    <row r="845" spans="1:26" ht="12.75" customHeight="1" x14ac:dyDescent="0.2">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row>
    <row r="846" spans="1:26" ht="12.75" customHeight="1" x14ac:dyDescent="0.2">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row>
    <row r="847" spans="1:26" ht="12.75" customHeight="1" x14ac:dyDescent="0.2">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row>
    <row r="848" spans="1:26" ht="12.75" customHeight="1" x14ac:dyDescent="0.2">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row>
    <row r="849" spans="1:26" ht="12.75" customHeight="1" x14ac:dyDescent="0.2">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row>
    <row r="850" spans="1:26" ht="12.75" customHeight="1" x14ac:dyDescent="0.2">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row>
    <row r="851" spans="1:26" ht="12.75" customHeight="1" x14ac:dyDescent="0.2">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row>
    <row r="852" spans="1:26" ht="12.75" customHeight="1" x14ac:dyDescent="0.2">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row>
    <row r="853" spans="1:26" ht="12.75" customHeight="1" x14ac:dyDescent="0.2">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row>
    <row r="854" spans="1:26" ht="12.75" customHeight="1" x14ac:dyDescent="0.2">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row>
    <row r="855" spans="1:26" ht="12.75" customHeight="1" x14ac:dyDescent="0.2">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row>
    <row r="856" spans="1:26" ht="12.75" customHeight="1" x14ac:dyDescent="0.2">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row>
    <row r="857" spans="1:26" ht="12.75" customHeight="1" x14ac:dyDescent="0.2">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row>
    <row r="858" spans="1:26" ht="12.75" customHeight="1" x14ac:dyDescent="0.2">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row>
    <row r="859" spans="1:26" ht="12.75" customHeight="1" x14ac:dyDescent="0.2">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row>
    <row r="860" spans="1:26" ht="12.75" customHeight="1" x14ac:dyDescent="0.2">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row>
    <row r="861" spans="1:26" ht="12.75" customHeight="1" x14ac:dyDescent="0.2">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row>
    <row r="862" spans="1:26" ht="12.75" customHeight="1" x14ac:dyDescent="0.2">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row>
    <row r="863" spans="1:26" ht="12.75" customHeight="1" x14ac:dyDescent="0.2">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row>
    <row r="864" spans="1:26" ht="12.75" customHeight="1" x14ac:dyDescent="0.2">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row>
    <row r="865" spans="1:26" ht="12.75" customHeight="1" x14ac:dyDescent="0.2">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row>
    <row r="866" spans="1:26" ht="12.75" customHeight="1" x14ac:dyDescent="0.2">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row>
    <row r="867" spans="1:26" ht="12.75" customHeight="1" x14ac:dyDescent="0.2">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row>
    <row r="868" spans="1:26" ht="12.75" customHeight="1" x14ac:dyDescent="0.2">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row>
    <row r="869" spans="1:26" ht="12.75" customHeight="1" x14ac:dyDescent="0.2">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row>
    <row r="870" spans="1:26" ht="12.75" customHeight="1" x14ac:dyDescent="0.2">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row>
    <row r="871" spans="1:26" ht="12.75" customHeight="1" x14ac:dyDescent="0.2">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row>
    <row r="872" spans="1:26" ht="12.75" customHeight="1" x14ac:dyDescent="0.2">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row>
    <row r="873" spans="1:26" ht="12.75" customHeight="1" x14ac:dyDescent="0.2">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row>
    <row r="874" spans="1:26" ht="12.75" customHeight="1" x14ac:dyDescent="0.2">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row>
    <row r="875" spans="1:26" ht="12.75" customHeight="1" x14ac:dyDescent="0.2">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row>
    <row r="876" spans="1:26" ht="12.75" customHeight="1" x14ac:dyDescent="0.2">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row>
    <row r="877" spans="1:26" ht="12.75" customHeight="1" x14ac:dyDescent="0.2">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row>
    <row r="878" spans="1:26" ht="12.75" customHeight="1" x14ac:dyDescent="0.2">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row>
    <row r="879" spans="1:26" ht="12.75" customHeight="1" x14ac:dyDescent="0.2">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row>
    <row r="880" spans="1:26" ht="12.75" customHeight="1" x14ac:dyDescent="0.2">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row>
    <row r="881" spans="1:26" ht="12.75" customHeight="1" x14ac:dyDescent="0.2">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row>
    <row r="882" spans="1:26" ht="12.75" customHeight="1" x14ac:dyDescent="0.2">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row>
    <row r="883" spans="1:26" ht="12.75" customHeight="1" x14ac:dyDescent="0.2">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row>
    <row r="884" spans="1:26" ht="12.75" customHeight="1" x14ac:dyDescent="0.2">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row>
    <row r="885" spans="1:26" ht="12.75" customHeight="1" x14ac:dyDescent="0.2">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row>
    <row r="886" spans="1:26" ht="12.75" customHeight="1" x14ac:dyDescent="0.2">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row>
    <row r="887" spans="1:26" ht="12.75" customHeight="1" x14ac:dyDescent="0.2">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row>
    <row r="888" spans="1:26" ht="12.75" customHeight="1" x14ac:dyDescent="0.2">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row>
    <row r="889" spans="1:26" ht="12.75" customHeight="1" x14ac:dyDescent="0.2">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row>
    <row r="890" spans="1:26" ht="12.75" customHeight="1" x14ac:dyDescent="0.2">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row>
    <row r="891" spans="1:26" ht="12.75" customHeight="1" x14ac:dyDescent="0.2">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row>
    <row r="892" spans="1:26" ht="12.75" customHeight="1" x14ac:dyDescent="0.2">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row>
    <row r="893" spans="1:26" ht="12.75" customHeight="1" x14ac:dyDescent="0.2">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row>
    <row r="894" spans="1:26" ht="12.75" customHeight="1" x14ac:dyDescent="0.2">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row>
    <row r="895" spans="1:26" ht="12.75" customHeight="1" x14ac:dyDescent="0.2">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row>
    <row r="896" spans="1:26" ht="12.75" customHeight="1" x14ac:dyDescent="0.2">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row>
    <row r="897" spans="1:26" ht="12.75" customHeight="1" x14ac:dyDescent="0.2">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row>
    <row r="898" spans="1:26" ht="12.75" customHeight="1" x14ac:dyDescent="0.2">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row>
    <row r="899" spans="1:26" ht="12.75" customHeight="1" x14ac:dyDescent="0.2">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row>
    <row r="900" spans="1:26" ht="12.75" customHeight="1" x14ac:dyDescent="0.2">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row>
    <row r="901" spans="1:26" ht="12.75" customHeight="1" x14ac:dyDescent="0.2">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row>
    <row r="902" spans="1:26" ht="12.75" customHeight="1" x14ac:dyDescent="0.2">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row>
    <row r="903" spans="1:26" ht="12.75" customHeight="1" x14ac:dyDescent="0.2">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row>
    <row r="904" spans="1:26" ht="12.75" customHeight="1" x14ac:dyDescent="0.2">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row>
    <row r="905" spans="1:26" ht="12.75" customHeight="1" x14ac:dyDescent="0.2">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row>
    <row r="906" spans="1:26" ht="12.75" customHeight="1" x14ac:dyDescent="0.2">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row>
    <row r="907" spans="1:26" ht="12.75" customHeight="1" x14ac:dyDescent="0.2">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row>
    <row r="908" spans="1:26" ht="12.75" customHeight="1" x14ac:dyDescent="0.2">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row>
    <row r="909" spans="1:26" ht="12.75" customHeight="1" x14ac:dyDescent="0.2">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row>
    <row r="910" spans="1:26" ht="12.75" customHeight="1" x14ac:dyDescent="0.2">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row>
    <row r="911" spans="1:26" ht="12.75" customHeight="1" x14ac:dyDescent="0.2">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row>
    <row r="912" spans="1:26" ht="12.75" customHeight="1" x14ac:dyDescent="0.2">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row>
    <row r="913" spans="1:26" ht="12.75" customHeight="1" x14ac:dyDescent="0.2">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row>
    <row r="914" spans="1:26" ht="12.75" customHeight="1" x14ac:dyDescent="0.2">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row>
    <row r="915" spans="1:26" ht="12.75" customHeight="1" x14ac:dyDescent="0.2">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row>
    <row r="916" spans="1:26" ht="12.75" customHeight="1" x14ac:dyDescent="0.2">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row>
    <row r="917" spans="1:26" ht="12.75" customHeight="1" x14ac:dyDescent="0.2">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row>
    <row r="918" spans="1:26" ht="12.75" customHeight="1" x14ac:dyDescent="0.2">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row>
    <row r="919" spans="1:26" ht="12.75" customHeight="1" x14ac:dyDescent="0.2">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row>
    <row r="920" spans="1:26" ht="12.75" customHeight="1" x14ac:dyDescent="0.2">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row>
    <row r="921" spans="1:26" ht="12.75" customHeight="1" x14ac:dyDescent="0.2">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row>
    <row r="922" spans="1:26" ht="12.75" customHeight="1" x14ac:dyDescent="0.2">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row>
    <row r="923" spans="1:26" ht="12.75" customHeight="1" x14ac:dyDescent="0.2">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row>
    <row r="924" spans="1:26" ht="12.75" customHeight="1" x14ac:dyDescent="0.2">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row>
    <row r="925" spans="1:26" ht="12.75" customHeight="1" x14ac:dyDescent="0.2">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row>
    <row r="926" spans="1:26" ht="12.75" customHeight="1" x14ac:dyDescent="0.2">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row>
    <row r="927" spans="1:26" ht="12.75" customHeight="1" x14ac:dyDescent="0.2">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row>
    <row r="928" spans="1:26" ht="12.75" customHeight="1" x14ac:dyDescent="0.2">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row>
    <row r="929" spans="1:26" ht="12.75" customHeight="1" x14ac:dyDescent="0.2">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row>
    <row r="930" spans="1:26" ht="12.75" customHeight="1" x14ac:dyDescent="0.2">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row>
    <row r="931" spans="1:26" ht="12.75" customHeight="1" x14ac:dyDescent="0.2">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row>
    <row r="932" spans="1:26" ht="12.75" customHeight="1" x14ac:dyDescent="0.2">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row>
    <row r="933" spans="1:26" ht="12.75" customHeight="1" x14ac:dyDescent="0.2">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row>
    <row r="934" spans="1:26" ht="12.75" customHeight="1" x14ac:dyDescent="0.2">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row>
    <row r="935" spans="1:26" ht="12.75" customHeight="1" x14ac:dyDescent="0.2">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row>
    <row r="936" spans="1:26" ht="12.75" customHeight="1" x14ac:dyDescent="0.2">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row>
    <row r="937" spans="1:26" ht="12.75" customHeight="1" x14ac:dyDescent="0.2">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row>
    <row r="938" spans="1:26" ht="12.75" customHeight="1" x14ac:dyDescent="0.2">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row>
    <row r="939" spans="1:26" ht="12.75" customHeight="1" x14ac:dyDescent="0.2">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row>
    <row r="940" spans="1:26" ht="12.75" customHeight="1" x14ac:dyDescent="0.2">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row>
    <row r="941" spans="1:26" ht="12.75" customHeight="1" x14ac:dyDescent="0.2">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row>
    <row r="942" spans="1:26" ht="12.75" customHeight="1" x14ac:dyDescent="0.2">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row>
    <row r="943" spans="1:26" ht="12.75" customHeight="1" x14ac:dyDescent="0.2">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row>
    <row r="944" spans="1:26" ht="12.75" customHeight="1" x14ac:dyDescent="0.2">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row>
    <row r="945" spans="1:26" ht="12.75" customHeight="1" x14ac:dyDescent="0.2">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row>
    <row r="946" spans="1:26" ht="12.75" customHeight="1" x14ac:dyDescent="0.2">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row>
    <row r="947" spans="1:26" ht="12.75" customHeight="1" x14ac:dyDescent="0.2">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row>
    <row r="948" spans="1:26" ht="12.75" customHeight="1" x14ac:dyDescent="0.2">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row>
    <row r="949" spans="1:26" ht="12.75" customHeight="1" x14ac:dyDescent="0.2">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row>
    <row r="950" spans="1:26" ht="12.75" customHeight="1" x14ac:dyDescent="0.2">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row>
    <row r="951" spans="1:26" ht="12.75" customHeight="1" x14ac:dyDescent="0.2">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row>
    <row r="952" spans="1:26" ht="12.75" customHeight="1" x14ac:dyDescent="0.2">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row>
    <row r="953" spans="1:26" ht="12.75" customHeight="1" x14ac:dyDescent="0.2">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row>
    <row r="954" spans="1:26" ht="12.75" customHeight="1" x14ac:dyDescent="0.2">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row>
    <row r="955" spans="1:26" ht="12.75" customHeight="1" x14ac:dyDescent="0.2">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row>
    <row r="956" spans="1:26" ht="12.75" customHeight="1" x14ac:dyDescent="0.2">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row>
    <row r="957" spans="1:26" ht="12.75" customHeight="1" x14ac:dyDescent="0.2">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row>
    <row r="958" spans="1:26" ht="12.75" customHeight="1" x14ac:dyDescent="0.2">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c r="Z958" s="116"/>
    </row>
    <row r="959" spans="1:26" ht="12.75" customHeight="1" x14ac:dyDescent="0.2">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c r="Z959" s="116"/>
    </row>
    <row r="960" spans="1:26" ht="12.75" customHeight="1" x14ac:dyDescent="0.2">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c r="Z960" s="116"/>
    </row>
    <row r="961" spans="1:26" ht="12.75" customHeight="1" x14ac:dyDescent="0.2">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row>
    <row r="962" spans="1:26" ht="12.75" customHeight="1" x14ac:dyDescent="0.2">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row>
    <row r="963" spans="1:26" ht="12.75" customHeight="1" x14ac:dyDescent="0.2">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row>
    <row r="964" spans="1:26" ht="12.75" customHeight="1" x14ac:dyDescent="0.2">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row>
    <row r="965" spans="1:26" ht="12.75" customHeight="1" x14ac:dyDescent="0.2">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row>
    <row r="966" spans="1:26" ht="12.75" customHeight="1" x14ac:dyDescent="0.2">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row>
    <row r="967" spans="1:26" ht="12.75" customHeight="1" x14ac:dyDescent="0.2">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row>
    <row r="968" spans="1:26" ht="12.75" customHeight="1" x14ac:dyDescent="0.2">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row>
    <row r="969" spans="1:26" ht="12.75" customHeight="1" x14ac:dyDescent="0.2">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row>
    <row r="970" spans="1:26" ht="12.75" customHeight="1" x14ac:dyDescent="0.2">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row>
    <row r="971" spans="1:26" ht="12.75" customHeight="1" x14ac:dyDescent="0.2">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row>
    <row r="972" spans="1:26" ht="12.75" customHeight="1" x14ac:dyDescent="0.2">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row>
    <row r="973" spans="1:26" ht="12.75" customHeight="1" x14ac:dyDescent="0.2">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row>
    <row r="974" spans="1:26" ht="12.75" customHeight="1" x14ac:dyDescent="0.2">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row>
    <row r="975" spans="1:26" ht="12.75" customHeight="1" x14ac:dyDescent="0.2">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row>
    <row r="976" spans="1:26" ht="12.75" customHeight="1" x14ac:dyDescent="0.2">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row>
    <row r="977" spans="1:26" ht="12.75" customHeight="1" x14ac:dyDescent="0.2">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row>
    <row r="978" spans="1:26" ht="12.75" customHeight="1" x14ac:dyDescent="0.2">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row>
    <row r="979" spans="1:26" ht="12.75" customHeight="1" x14ac:dyDescent="0.2">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row>
    <row r="980" spans="1:26" ht="12.75" customHeight="1" x14ac:dyDescent="0.2">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row>
    <row r="981" spans="1:26" ht="12.75" customHeight="1" x14ac:dyDescent="0.2">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row>
    <row r="982" spans="1:26" ht="12.75" customHeight="1" x14ac:dyDescent="0.2">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row>
    <row r="983" spans="1:26" ht="12.75" customHeight="1" x14ac:dyDescent="0.2">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row>
    <row r="984" spans="1:26" ht="12.75" customHeight="1" x14ac:dyDescent="0.2">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row>
    <row r="985" spans="1:26" ht="12.75" customHeight="1" x14ac:dyDescent="0.2">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row>
    <row r="986" spans="1:26" ht="12.75" customHeight="1" x14ac:dyDescent="0.2">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row>
    <row r="987" spans="1:26" ht="12.75" customHeight="1" x14ac:dyDescent="0.2">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row>
    <row r="988" spans="1:26" ht="12.75" customHeight="1" x14ac:dyDescent="0.2">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row>
    <row r="989" spans="1:26" ht="12.75" customHeight="1" x14ac:dyDescent="0.2">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row>
    <row r="990" spans="1:26" ht="12.75" customHeight="1" x14ac:dyDescent="0.2">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row>
    <row r="991" spans="1:26" ht="12.75" customHeight="1" x14ac:dyDescent="0.2">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row>
    <row r="992" spans="1:26" ht="12.75" customHeight="1" x14ac:dyDescent="0.2">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row>
    <row r="993" spans="1:26" ht="12.75" customHeight="1" x14ac:dyDescent="0.2">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row>
    <row r="994" spans="1:26" ht="12.75" customHeight="1" x14ac:dyDescent="0.2">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row>
    <row r="995" spans="1:26" ht="12.75" customHeight="1" x14ac:dyDescent="0.2">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row>
    <row r="996" spans="1:26" ht="12.75" customHeight="1" x14ac:dyDescent="0.2">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row>
    <row r="997" spans="1:26" ht="12.75" customHeight="1" x14ac:dyDescent="0.2">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row>
    <row r="998" spans="1:26" ht="12.75" customHeight="1" x14ac:dyDescent="0.2">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row>
    <row r="999" spans="1:26" ht="12.75" customHeight="1" x14ac:dyDescent="0.2">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row>
    <row r="1000" spans="1:26" ht="12.75" customHeight="1" x14ac:dyDescent="0.2">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Intructivo</vt:lpstr>
      <vt:lpstr>Mapa final</vt:lpstr>
      <vt:lpstr>Opciones Tratamiento</vt:lpstr>
      <vt:lpstr>Matriz Calor Inherente</vt:lpstr>
      <vt:lpstr>Matriz Calor Residual</vt:lpstr>
      <vt:lpstr>Tabla probabilidad</vt:lpstr>
      <vt:lpstr>Tabla Impacto</vt:lpstr>
      <vt:lpstr>Tabla Valoración controles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Ofelia Rosa Galvan Sanchez</cp:lastModifiedBy>
  <dcterms:created xsi:type="dcterms:W3CDTF">2020-03-24T23:12:47Z</dcterms:created>
  <dcterms:modified xsi:type="dcterms:W3CDTF">2023-10-19T13:12:47Z</dcterms:modified>
</cp:coreProperties>
</file>