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19\"/>
    </mc:Choice>
  </mc:AlternateContent>
  <xr:revisionPtr revIDLastSave="0" documentId="8_{C11391A7-41C3-48DC-9482-F7AD942DBC0C}" xr6:coauthVersionLast="36" xr6:coauthVersionMax="36" xr10:uidLastSave="{00000000-0000-0000-0000-000000000000}"/>
  <bookViews>
    <workbookView xWindow="0" yWindow="0" windowWidth="28800" windowHeight="13275" firstSheet="8" activeTab="8" xr2:uid="{00000000-000D-0000-FFFF-FFFF00000000}"/>
  </bookViews>
  <sheets>
    <sheet name="Enero" sheetId="12" state="hidden" r:id="rId1"/>
    <sheet name="Febrero" sheetId="13" state="hidden" r:id="rId2"/>
    <sheet name="Marzo" sheetId="14" state="hidden" r:id="rId3"/>
    <sheet name="Abril" sheetId="15" state="hidden" r:id="rId4"/>
    <sheet name="Mayo" sheetId="16" state="hidden" r:id="rId5"/>
    <sheet name="Junio" sheetId="17" state="hidden" r:id="rId6"/>
    <sheet name="Julio" sheetId="19" state="hidden" r:id="rId7"/>
    <sheet name="Agosto" sheetId="20" state="hidden" r:id="rId8"/>
    <sheet name="Septiembre" sheetId="21" r:id="rId9"/>
    <sheet name="Octubre" sheetId="22" state="hidden" r:id="rId10"/>
    <sheet name="Noviembre" sheetId="23" state="hidden" r:id="rId11"/>
    <sheet name="Diciembre" sheetId="24" state="hidden" r:id="rId12"/>
    <sheet name="datos" sheetId="18" state="hidden" r:id="rId13"/>
  </sheets>
  <definedNames>
    <definedName name="_xlnm.Print_Titles" localSheetId="3">Abril!$4:$4</definedName>
    <definedName name="_xlnm.Print_Titles" localSheetId="7">Agosto!$4:$4</definedName>
    <definedName name="_xlnm.Print_Titles" localSheetId="11">Diciembre!$4:$4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0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P85" i="17" l="1"/>
  <c r="P84" i="17"/>
  <c r="P82" i="17"/>
  <c r="P81" i="17"/>
  <c r="P79" i="17"/>
  <c r="P78" i="17"/>
  <c r="P77" i="17"/>
  <c r="P76" i="17"/>
  <c r="P74" i="17"/>
  <c r="P73" i="17"/>
  <c r="P71" i="17"/>
  <c r="P70" i="17"/>
  <c r="P69" i="17"/>
  <c r="P67" i="17"/>
  <c r="P64" i="17"/>
  <c r="P63" i="17"/>
  <c r="P62" i="17"/>
  <c r="P58" i="17"/>
  <c r="P57" i="17"/>
  <c r="P56" i="17"/>
  <c r="P55" i="17"/>
  <c r="P53" i="17"/>
  <c r="P52" i="17"/>
  <c r="P51" i="17"/>
  <c r="P50" i="17"/>
  <c r="P49" i="17"/>
  <c r="P47" i="17"/>
  <c r="P46" i="17"/>
  <c r="P45" i="17"/>
  <c r="P42" i="17"/>
  <c r="P41" i="17"/>
  <c r="P37" i="17"/>
  <c r="P36" i="17"/>
  <c r="P35" i="17"/>
  <c r="P34" i="17"/>
  <c r="P33" i="17"/>
  <c r="P32" i="17"/>
  <c r="P31" i="17"/>
  <c r="P29" i="17"/>
  <c r="P28" i="17"/>
  <c r="P27" i="17"/>
  <c r="P26" i="17"/>
  <c r="P25" i="17"/>
  <c r="P24" i="17"/>
  <c r="P23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AD42" i="18"/>
  <c r="AD41" i="18"/>
  <c r="AD40" i="18"/>
  <c r="F55" i="23" l="1"/>
  <c r="E69" i="24" l="1"/>
  <c r="E70" i="24"/>
  <c r="E71" i="24"/>
  <c r="R36" i="24" l="1"/>
  <c r="R37" i="24"/>
  <c r="R55" i="24"/>
  <c r="R58" i="24"/>
  <c r="R62" i="24"/>
  <c r="R63" i="24"/>
  <c r="R64" i="24"/>
  <c r="F36" i="24" l="1"/>
  <c r="G36" i="24" s="1"/>
  <c r="I36" i="24" s="1"/>
  <c r="F55" i="24"/>
  <c r="Q19" i="24"/>
  <c r="Q21" i="24"/>
  <c r="Q29" i="24"/>
  <c r="Q33" i="24"/>
  <c r="Q36" i="24"/>
  <c r="Q37" i="24"/>
  <c r="Q45" i="24"/>
  <c r="Q53" i="24"/>
  <c r="Q55" i="24"/>
  <c r="Q57" i="24"/>
  <c r="Q58" i="24"/>
  <c r="Q62" i="24"/>
  <c r="Q63" i="24"/>
  <c r="Q64" i="24"/>
  <c r="Q84" i="24"/>
  <c r="P12" i="24"/>
  <c r="P28" i="24"/>
  <c r="P36" i="24"/>
  <c r="P37" i="24"/>
  <c r="P50" i="24"/>
  <c r="P55" i="24"/>
  <c r="P56" i="24"/>
  <c r="P58" i="24"/>
  <c r="P62" i="24"/>
  <c r="P63" i="24"/>
  <c r="P64" i="24"/>
  <c r="P78" i="24"/>
  <c r="M85" i="24"/>
  <c r="L85" i="24"/>
  <c r="K85" i="24"/>
  <c r="R85" i="24" s="1"/>
  <c r="J85" i="24"/>
  <c r="I85" i="24"/>
  <c r="H85" i="24"/>
  <c r="P85" i="24" s="1"/>
  <c r="G85" i="24"/>
  <c r="F85" i="24"/>
  <c r="E85" i="24"/>
  <c r="D85" i="24"/>
  <c r="C85" i="24"/>
  <c r="O84" i="24"/>
  <c r="N84" i="24"/>
  <c r="M84" i="24"/>
  <c r="L84" i="24"/>
  <c r="K84" i="24"/>
  <c r="J84" i="24"/>
  <c r="I84" i="24"/>
  <c r="I83" i="24" s="1"/>
  <c r="H84" i="24"/>
  <c r="P84" i="24" s="1"/>
  <c r="G84" i="24"/>
  <c r="F84" i="24"/>
  <c r="E84" i="24"/>
  <c r="E83" i="24" s="1"/>
  <c r="D84" i="24"/>
  <c r="D83" i="24" s="1"/>
  <c r="C84" i="24"/>
  <c r="J83" i="24"/>
  <c r="F83" i="24"/>
  <c r="M82" i="24"/>
  <c r="L82" i="24"/>
  <c r="L80" i="24" s="1"/>
  <c r="K82" i="24"/>
  <c r="R82" i="24" s="1"/>
  <c r="J82" i="24"/>
  <c r="Q82" i="24" s="1"/>
  <c r="I82" i="24"/>
  <c r="H82" i="24"/>
  <c r="P82" i="24" s="1"/>
  <c r="G82" i="24"/>
  <c r="O82" i="24"/>
  <c r="E82" i="24"/>
  <c r="D82" i="24"/>
  <c r="C82" i="24"/>
  <c r="F82" i="24" s="1"/>
  <c r="M81" i="24"/>
  <c r="M80" i="24" s="1"/>
  <c r="L81" i="24"/>
  <c r="K81" i="24"/>
  <c r="R81" i="24" s="1"/>
  <c r="J81" i="24"/>
  <c r="Q81" i="24" s="1"/>
  <c r="I81" i="24"/>
  <c r="I80" i="24" s="1"/>
  <c r="H81" i="24"/>
  <c r="H80" i="24" s="1"/>
  <c r="G81" i="24"/>
  <c r="E81" i="24"/>
  <c r="D81" i="24"/>
  <c r="C81" i="24"/>
  <c r="F81" i="24" s="1"/>
  <c r="M79" i="24"/>
  <c r="L79" i="24"/>
  <c r="K79" i="24"/>
  <c r="J79" i="24"/>
  <c r="N79" i="24" s="1"/>
  <c r="I79" i="24"/>
  <c r="H79" i="24"/>
  <c r="P79" i="24" s="1"/>
  <c r="G79" i="24"/>
  <c r="F79" i="24"/>
  <c r="E79" i="24"/>
  <c r="D79" i="24"/>
  <c r="C79" i="24"/>
  <c r="M78" i="24"/>
  <c r="L78" i="24"/>
  <c r="K78" i="24"/>
  <c r="J78" i="24"/>
  <c r="Q78" i="24" s="1"/>
  <c r="I78" i="24"/>
  <c r="H78" i="24"/>
  <c r="G78" i="24"/>
  <c r="F78" i="24"/>
  <c r="E78" i="24"/>
  <c r="D78" i="24"/>
  <c r="C78" i="24"/>
  <c r="M77" i="24"/>
  <c r="M75" i="24" s="1"/>
  <c r="L77" i="24"/>
  <c r="K77" i="24"/>
  <c r="Q77" i="24" s="1"/>
  <c r="J77" i="24"/>
  <c r="I77" i="24"/>
  <c r="H77" i="24"/>
  <c r="P77" i="24" s="1"/>
  <c r="G77" i="24"/>
  <c r="F77" i="24"/>
  <c r="E77" i="24"/>
  <c r="D77" i="24"/>
  <c r="C77" i="24"/>
  <c r="M76" i="24"/>
  <c r="L76" i="24"/>
  <c r="L75" i="24" s="1"/>
  <c r="K76" i="24"/>
  <c r="J76" i="24"/>
  <c r="Q76" i="24" s="1"/>
  <c r="I76" i="24"/>
  <c r="H76" i="24"/>
  <c r="G76" i="24"/>
  <c r="F76" i="24"/>
  <c r="E76" i="24"/>
  <c r="D76" i="24"/>
  <c r="C76" i="24"/>
  <c r="N74" i="24"/>
  <c r="M74" i="24"/>
  <c r="L74" i="24"/>
  <c r="K74" i="24"/>
  <c r="J74" i="24"/>
  <c r="Q74" i="24" s="1"/>
  <c r="I74" i="24"/>
  <c r="H74" i="24"/>
  <c r="G74" i="24"/>
  <c r="E74" i="24"/>
  <c r="D74" i="24"/>
  <c r="C74" i="24"/>
  <c r="F74" i="24" s="1"/>
  <c r="M73" i="24"/>
  <c r="M72" i="24" s="1"/>
  <c r="L73" i="24"/>
  <c r="L72" i="24" s="1"/>
  <c r="K73" i="24"/>
  <c r="J73" i="24"/>
  <c r="J72" i="24" s="1"/>
  <c r="I73" i="24"/>
  <c r="H73" i="24"/>
  <c r="G73" i="24"/>
  <c r="G72" i="24" s="1"/>
  <c r="E73" i="24"/>
  <c r="D73" i="24"/>
  <c r="C73" i="24"/>
  <c r="H72" i="24"/>
  <c r="P72" i="24" s="1"/>
  <c r="E72" i="24"/>
  <c r="D72" i="24"/>
  <c r="M71" i="24"/>
  <c r="L71" i="24"/>
  <c r="K71" i="24"/>
  <c r="R71" i="24" s="1"/>
  <c r="J71" i="24"/>
  <c r="Q71" i="24" s="1"/>
  <c r="I71" i="24"/>
  <c r="H71" i="24"/>
  <c r="P71" i="24" s="1"/>
  <c r="G71" i="24"/>
  <c r="D71" i="24"/>
  <c r="C71" i="24"/>
  <c r="F71" i="24" s="1"/>
  <c r="M70" i="24"/>
  <c r="L70" i="24"/>
  <c r="K70" i="24"/>
  <c r="R70" i="24" s="1"/>
  <c r="J70" i="24"/>
  <c r="Q70" i="24" s="1"/>
  <c r="I70" i="24"/>
  <c r="I68" i="24" s="1"/>
  <c r="H70" i="24"/>
  <c r="P70" i="24" s="1"/>
  <c r="G70" i="24"/>
  <c r="D70" i="24"/>
  <c r="C70" i="24"/>
  <c r="F70" i="24" s="1"/>
  <c r="M69" i="24"/>
  <c r="L69" i="24"/>
  <c r="K69" i="24"/>
  <c r="J69" i="24"/>
  <c r="Q69" i="24" s="1"/>
  <c r="I69" i="24"/>
  <c r="H69" i="24"/>
  <c r="H68" i="24" s="1"/>
  <c r="G69" i="24"/>
  <c r="F68" i="24"/>
  <c r="D69" i="24"/>
  <c r="C69" i="24"/>
  <c r="F69" i="24" s="1"/>
  <c r="L68" i="24"/>
  <c r="M67" i="24"/>
  <c r="M66" i="24" s="1"/>
  <c r="L67" i="24"/>
  <c r="L66" i="24" s="1"/>
  <c r="K67" i="24"/>
  <c r="R67" i="24" s="1"/>
  <c r="J67" i="24"/>
  <c r="J66" i="24" s="1"/>
  <c r="I67" i="24"/>
  <c r="I66" i="24" s="1"/>
  <c r="H67" i="24"/>
  <c r="H66" i="24" s="1"/>
  <c r="P66" i="24" s="1"/>
  <c r="G67" i="24"/>
  <c r="G66" i="24" s="1"/>
  <c r="F67" i="24"/>
  <c r="F66" i="24" s="1"/>
  <c r="E67" i="24"/>
  <c r="E66" i="24" s="1"/>
  <c r="D67" i="24"/>
  <c r="D66" i="24" s="1"/>
  <c r="C67" i="24"/>
  <c r="F64" i="24"/>
  <c r="I64" i="24" s="1"/>
  <c r="O63" i="24"/>
  <c r="N63" i="24"/>
  <c r="O62" i="24"/>
  <c r="N62" i="24"/>
  <c r="M61" i="24"/>
  <c r="L61" i="24"/>
  <c r="L60" i="24" s="1"/>
  <c r="L59" i="24" s="1"/>
  <c r="K61" i="24"/>
  <c r="J61" i="24"/>
  <c r="Q61" i="24" s="1"/>
  <c r="H61" i="24"/>
  <c r="P61" i="24" s="1"/>
  <c r="G61" i="24"/>
  <c r="G60" i="24" s="1"/>
  <c r="G59" i="24" s="1"/>
  <c r="E61" i="24"/>
  <c r="E60" i="24" s="1"/>
  <c r="E59" i="24" s="1"/>
  <c r="D61" i="24"/>
  <c r="C61" i="24"/>
  <c r="C60" i="24" s="1"/>
  <c r="M60" i="24"/>
  <c r="M59" i="24" s="1"/>
  <c r="K60" i="24"/>
  <c r="R60" i="24" s="1"/>
  <c r="J60" i="24"/>
  <c r="J59" i="24" s="1"/>
  <c r="D60" i="24"/>
  <c r="D59" i="24" s="1"/>
  <c r="F58" i="24"/>
  <c r="M57" i="24"/>
  <c r="L57" i="24"/>
  <c r="K57" i="24"/>
  <c r="J57" i="24"/>
  <c r="N57" i="24" s="1"/>
  <c r="I57" i="24"/>
  <c r="H57" i="24"/>
  <c r="P57" i="24" s="1"/>
  <c r="G57" i="24"/>
  <c r="G54" i="24" s="1"/>
  <c r="F57" i="24"/>
  <c r="E57" i="24"/>
  <c r="M56" i="24"/>
  <c r="L56" i="24"/>
  <c r="K56" i="24"/>
  <c r="J56" i="24"/>
  <c r="I56" i="24"/>
  <c r="H56" i="24"/>
  <c r="H54" i="24" s="1"/>
  <c r="G56" i="24"/>
  <c r="F56" i="24"/>
  <c r="E56" i="24"/>
  <c r="D56" i="24"/>
  <c r="C56" i="24"/>
  <c r="I55" i="24"/>
  <c r="M53" i="24"/>
  <c r="L53" i="24"/>
  <c r="K53" i="24"/>
  <c r="J53" i="24"/>
  <c r="I53" i="24"/>
  <c r="H53" i="24"/>
  <c r="P53" i="24" s="1"/>
  <c r="G53" i="24"/>
  <c r="F53" i="24"/>
  <c r="E53" i="24"/>
  <c r="D53" i="24"/>
  <c r="C53" i="24"/>
  <c r="AD38" i="18" s="1"/>
  <c r="M52" i="24"/>
  <c r="L52" i="24"/>
  <c r="K52" i="24"/>
  <c r="J52" i="24"/>
  <c r="Q52" i="24" s="1"/>
  <c r="I52" i="24"/>
  <c r="H52" i="24"/>
  <c r="P52" i="24" s="1"/>
  <c r="G52" i="24"/>
  <c r="F52" i="24"/>
  <c r="E52" i="24"/>
  <c r="D52" i="24"/>
  <c r="C52" i="24"/>
  <c r="AD37" i="18" s="1"/>
  <c r="M51" i="24"/>
  <c r="L51" i="24"/>
  <c r="K51" i="24"/>
  <c r="J51" i="24"/>
  <c r="Q51" i="24" s="1"/>
  <c r="I51" i="24"/>
  <c r="H51" i="24"/>
  <c r="P51" i="24" s="1"/>
  <c r="G51" i="24"/>
  <c r="F51" i="24"/>
  <c r="E51" i="24"/>
  <c r="D51" i="24"/>
  <c r="C51" i="24"/>
  <c r="AD36" i="18" s="1"/>
  <c r="N50" i="24"/>
  <c r="M50" i="24"/>
  <c r="L50" i="24"/>
  <c r="K50" i="24"/>
  <c r="J50" i="24"/>
  <c r="I50" i="24"/>
  <c r="H50" i="24"/>
  <c r="G50" i="24"/>
  <c r="F50" i="24"/>
  <c r="E50" i="24"/>
  <c r="E48" i="24" s="1"/>
  <c r="D50" i="24"/>
  <c r="C50" i="24"/>
  <c r="AD35" i="18" s="1"/>
  <c r="M49" i="24"/>
  <c r="M48" i="24" s="1"/>
  <c r="L49" i="24"/>
  <c r="K49" i="24"/>
  <c r="J49" i="24"/>
  <c r="N49" i="24" s="1"/>
  <c r="I49" i="24"/>
  <c r="H49" i="24"/>
  <c r="P49" i="24" s="1"/>
  <c r="G49" i="24"/>
  <c r="G48" i="24" s="1"/>
  <c r="F49" i="24"/>
  <c r="O49" i="24" s="1"/>
  <c r="E49" i="24"/>
  <c r="D49" i="24"/>
  <c r="D48" i="24" s="1"/>
  <c r="C49" i="24"/>
  <c r="M47" i="24"/>
  <c r="L47" i="24"/>
  <c r="K47" i="24"/>
  <c r="R47" i="24" s="1"/>
  <c r="J47" i="24"/>
  <c r="N47" i="24" s="1"/>
  <c r="I47" i="24"/>
  <c r="H47" i="24"/>
  <c r="P47" i="24" s="1"/>
  <c r="G47" i="24"/>
  <c r="F47" i="24"/>
  <c r="E47" i="24"/>
  <c r="D47" i="24"/>
  <c r="C47" i="24"/>
  <c r="AD33" i="18" s="1"/>
  <c r="M46" i="24"/>
  <c r="L46" i="24"/>
  <c r="K46" i="24"/>
  <c r="J46" i="24"/>
  <c r="Q46" i="24" s="1"/>
  <c r="I46" i="24"/>
  <c r="H46" i="24"/>
  <c r="P46" i="24" s="1"/>
  <c r="G46" i="24"/>
  <c r="F46" i="24"/>
  <c r="O46" i="24" s="1"/>
  <c r="E46" i="24"/>
  <c r="D46" i="24"/>
  <c r="C46" i="24"/>
  <c r="AD32" i="18" s="1"/>
  <c r="M45" i="24"/>
  <c r="L45" i="24"/>
  <c r="K45" i="24"/>
  <c r="J45" i="24"/>
  <c r="I45" i="24"/>
  <c r="H45" i="24"/>
  <c r="H44" i="24" s="1"/>
  <c r="G45" i="24"/>
  <c r="F45" i="24"/>
  <c r="O45" i="24" s="1"/>
  <c r="E45" i="24"/>
  <c r="D45" i="24"/>
  <c r="C45" i="24"/>
  <c r="M42" i="24"/>
  <c r="L42" i="24"/>
  <c r="K42" i="24"/>
  <c r="J42" i="24"/>
  <c r="Q42" i="24" s="1"/>
  <c r="I42" i="24"/>
  <c r="H42" i="24"/>
  <c r="P42" i="24" s="1"/>
  <c r="G42" i="24"/>
  <c r="F42" i="24"/>
  <c r="E42" i="24"/>
  <c r="D42" i="24"/>
  <c r="C42" i="24"/>
  <c r="M41" i="24"/>
  <c r="L41" i="24"/>
  <c r="K41" i="24"/>
  <c r="R41" i="24" s="1"/>
  <c r="J41" i="24"/>
  <c r="I41" i="24"/>
  <c r="H41" i="24"/>
  <c r="P41" i="24" s="1"/>
  <c r="G41" i="24"/>
  <c r="F41" i="24"/>
  <c r="E41" i="24"/>
  <c r="D41" i="24"/>
  <c r="C41" i="24"/>
  <c r="AD29" i="18" s="1"/>
  <c r="L40" i="24"/>
  <c r="L39" i="24" s="1"/>
  <c r="F37" i="24"/>
  <c r="I37" i="24" s="1"/>
  <c r="O36" i="24"/>
  <c r="M35" i="24"/>
  <c r="L35" i="24"/>
  <c r="K35" i="24"/>
  <c r="J35" i="24"/>
  <c r="N35" i="24" s="1"/>
  <c r="I35" i="24"/>
  <c r="H35" i="24"/>
  <c r="P35" i="24" s="1"/>
  <c r="G35" i="24"/>
  <c r="F35" i="24"/>
  <c r="E35" i="24"/>
  <c r="D35" i="24"/>
  <c r="C35" i="24"/>
  <c r="AD28" i="18" s="1"/>
  <c r="M34" i="24"/>
  <c r="L34" i="24"/>
  <c r="K34" i="24"/>
  <c r="J34" i="24"/>
  <c r="I34" i="24"/>
  <c r="H34" i="24"/>
  <c r="P34" i="24" s="1"/>
  <c r="G34" i="24"/>
  <c r="F34" i="24"/>
  <c r="E34" i="24"/>
  <c r="D34" i="24"/>
  <c r="C34" i="24"/>
  <c r="M33" i="24"/>
  <c r="L33" i="24"/>
  <c r="K33" i="24"/>
  <c r="J33" i="24"/>
  <c r="I33" i="24"/>
  <c r="H33" i="24"/>
  <c r="P33" i="24" s="1"/>
  <c r="G33" i="24"/>
  <c r="F33" i="24"/>
  <c r="E33" i="24"/>
  <c r="D33" i="24"/>
  <c r="C33" i="24"/>
  <c r="AD26" i="18" s="1"/>
  <c r="M32" i="24"/>
  <c r="L32" i="24"/>
  <c r="K32" i="24"/>
  <c r="R32" i="24" s="1"/>
  <c r="J32" i="24"/>
  <c r="I32" i="24"/>
  <c r="H32" i="24"/>
  <c r="P32" i="24" s="1"/>
  <c r="G32" i="24"/>
  <c r="F32" i="24"/>
  <c r="E32" i="24"/>
  <c r="D32" i="24"/>
  <c r="C32" i="24"/>
  <c r="AD25" i="18" s="1"/>
  <c r="M31" i="24"/>
  <c r="L31" i="24"/>
  <c r="K31" i="24"/>
  <c r="J31" i="24"/>
  <c r="P31" i="24" s="1"/>
  <c r="I31" i="24"/>
  <c r="H31" i="24"/>
  <c r="G31" i="24"/>
  <c r="F31" i="24"/>
  <c r="E31" i="24"/>
  <c r="D31" i="24"/>
  <c r="C31" i="24"/>
  <c r="AD24" i="18" s="1"/>
  <c r="M29" i="24"/>
  <c r="L29" i="24"/>
  <c r="K29" i="24"/>
  <c r="J29" i="24"/>
  <c r="I29" i="24"/>
  <c r="H29" i="24"/>
  <c r="P29" i="24" s="1"/>
  <c r="G29" i="24"/>
  <c r="F29" i="24"/>
  <c r="E29" i="24"/>
  <c r="D29" i="24"/>
  <c r="C29" i="24"/>
  <c r="AD23" i="18" s="1"/>
  <c r="N28" i="24"/>
  <c r="M28" i="24"/>
  <c r="L28" i="24"/>
  <c r="K28" i="24"/>
  <c r="J28" i="24"/>
  <c r="Q28" i="24" s="1"/>
  <c r="I28" i="24"/>
  <c r="H28" i="24"/>
  <c r="G28" i="24"/>
  <c r="F28" i="24"/>
  <c r="E28" i="24"/>
  <c r="D28" i="24"/>
  <c r="C28" i="24"/>
  <c r="AD22" i="18" s="1"/>
  <c r="M27" i="24"/>
  <c r="L27" i="24"/>
  <c r="K27" i="24"/>
  <c r="R27" i="24" s="1"/>
  <c r="J27" i="24"/>
  <c r="Q27" i="24" s="1"/>
  <c r="I27" i="24"/>
  <c r="H27" i="24"/>
  <c r="P27" i="24" s="1"/>
  <c r="G27" i="24"/>
  <c r="F27" i="24"/>
  <c r="E27" i="24"/>
  <c r="D27" i="24"/>
  <c r="C27" i="24"/>
  <c r="AD21" i="18" s="1"/>
  <c r="M26" i="24"/>
  <c r="L26" i="24"/>
  <c r="K26" i="24"/>
  <c r="J26" i="24"/>
  <c r="N26" i="24" s="1"/>
  <c r="I26" i="24"/>
  <c r="H26" i="24"/>
  <c r="G26" i="24"/>
  <c r="F26" i="24"/>
  <c r="E26" i="24"/>
  <c r="D26" i="24"/>
  <c r="C26" i="24"/>
  <c r="AD20" i="18" s="1"/>
  <c r="M25" i="24"/>
  <c r="L25" i="24"/>
  <c r="K25" i="24"/>
  <c r="R25" i="24" s="1"/>
  <c r="J25" i="24"/>
  <c r="Q25" i="24" s="1"/>
  <c r="I25" i="24"/>
  <c r="H25" i="24"/>
  <c r="P25" i="24" s="1"/>
  <c r="G25" i="24"/>
  <c r="F25" i="24"/>
  <c r="E25" i="24"/>
  <c r="D25" i="24"/>
  <c r="C25" i="24"/>
  <c r="AD19" i="18" s="1"/>
  <c r="M24" i="24"/>
  <c r="L24" i="24"/>
  <c r="K24" i="24"/>
  <c r="J24" i="24"/>
  <c r="N24" i="24" s="1"/>
  <c r="I24" i="24"/>
  <c r="H24" i="24"/>
  <c r="P24" i="24" s="1"/>
  <c r="G24" i="24"/>
  <c r="F24" i="24"/>
  <c r="E24" i="24"/>
  <c r="D24" i="24"/>
  <c r="C24" i="24"/>
  <c r="AD18" i="18" s="1"/>
  <c r="M23" i="24"/>
  <c r="L23" i="24"/>
  <c r="K23" i="24"/>
  <c r="R23" i="24" s="1"/>
  <c r="J23" i="24"/>
  <c r="Q23" i="24" s="1"/>
  <c r="I23" i="24"/>
  <c r="H23" i="24"/>
  <c r="P23" i="24" s="1"/>
  <c r="G23" i="24"/>
  <c r="F23" i="24"/>
  <c r="E23" i="24"/>
  <c r="D23" i="24"/>
  <c r="C23" i="24"/>
  <c r="AD17" i="18" s="1"/>
  <c r="M22" i="24"/>
  <c r="L22" i="24"/>
  <c r="K22" i="24"/>
  <c r="R22" i="24" s="1"/>
  <c r="J22" i="24"/>
  <c r="Q22" i="24" s="1"/>
  <c r="I22" i="24"/>
  <c r="H22" i="24"/>
  <c r="P22" i="24" s="1"/>
  <c r="G22" i="24"/>
  <c r="F22" i="24"/>
  <c r="E22" i="24"/>
  <c r="D22" i="24"/>
  <c r="C22" i="24"/>
  <c r="AD16" i="18" s="1"/>
  <c r="M21" i="24"/>
  <c r="L21" i="24"/>
  <c r="K21" i="24"/>
  <c r="R21" i="24" s="1"/>
  <c r="J21" i="24"/>
  <c r="I21" i="24"/>
  <c r="H21" i="24"/>
  <c r="P21" i="24" s="1"/>
  <c r="G21" i="24"/>
  <c r="F21" i="24"/>
  <c r="E21" i="24"/>
  <c r="D21" i="24"/>
  <c r="C21" i="24"/>
  <c r="AD15" i="18" s="1"/>
  <c r="M19" i="24"/>
  <c r="L19" i="24"/>
  <c r="K19" i="24"/>
  <c r="J19" i="24"/>
  <c r="I19" i="24"/>
  <c r="H19" i="24"/>
  <c r="P19" i="24" s="1"/>
  <c r="G19" i="24"/>
  <c r="F19" i="24"/>
  <c r="E19" i="24"/>
  <c r="D19" i="24"/>
  <c r="C19" i="24"/>
  <c r="AD14" i="18" s="1"/>
  <c r="M18" i="24"/>
  <c r="L18" i="24"/>
  <c r="K18" i="24"/>
  <c r="J18" i="24"/>
  <c r="Q18" i="24" s="1"/>
  <c r="I18" i="24"/>
  <c r="H18" i="24"/>
  <c r="P18" i="24" s="1"/>
  <c r="G18" i="24"/>
  <c r="F18" i="24"/>
  <c r="E18" i="24"/>
  <c r="D18" i="24"/>
  <c r="C18" i="24"/>
  <c r="AD13" i="18" s="1"/>
  <c r="M17" i="24"/>
  <c r="L17" i="24"/>
  <c r="K17" i="24"/>
  <c r="Q17" i="24" s="1"/>
  <c r="J17" i="24"/>
  <c r="I17" i="24"/>
  <c r="H17" i="24"/>
  <c r="P17" i="24" s="1"/>
  <c r="G17" i="24"/>
  <c r="F17" i="24"/>
  <c r="E17" i="24"/>
  <c r="D17" i="24"/>
  <c r="C17" i="24"/>
  <c r="AD12" i="18" s="1"/>
  <c r="M16" i="24"/>
  <c r="L16" i="24"/>
  <c r="K16" i="24"/>
  <c r="J16" i="24"/>
  <c r="N16" i="24" s="1"/>
  <c r="I16" i="24"/>
  <c r="H16" i="24"/>
  <c r="G16" i="24"/>
  <c r="F16" i="24"/>
  <c r="E16" i="24"/>
  <c r="D16" i="24"/>
  <c r="C16" i="24"/>
  <c r="AD11" i="18" s="1"/>
  <c r="M15" i="24"/>
  <c r="L15" i="24"/>
  <c r="K15" i="24"/>
  <c r="J15" i="24"/>
  <c r="Q15" i="24" s="1"/>
  <c r="I15" i="24"/>
  <c r="H15" i="24"/>
  <c r="P15" i="24" s="1"/>
  <c r="G15" i="24"/>
  <c r="F15" i="24"/>
  <c r="E15" i="24"/>
  <c r="D15" i="24"/>
  <c r="C15" i="24"/>
  <c r="AD10" i="18" s="1"/>
  <c r="M14" i="24"/>
  <c r="L14" i="24"/>
  <c r="K14" i="24"/>
  <c r="R14" i="24" s="1"/>
  <c r="J14" i="24"/>
  <c r="Q14" i="24" s="1"/>
  <c r="I14" i="24"/>
  <c r="H14" i="24"/>
  <c r="P14" i="24" s="1"/>
  <c r="G14" i="24"/>
  <c r="F14" i="24"/>
  <c r="E14" i="24"/>
  <c r="D14" i="24"/>
  <c r="C14" i="24"/>
  <c r="AD9" i="18" s="1"/>
  <c r="M13" i="24"/>
  <c r="L13" i="24"/>
  <c r="K13" i="24"/>
  <c r="J13" i="24"/>
  <c r="Q13" i="24" s="1"/>
  <c r="I13" i="24"/>
  <c r="H13" i="24"/>
  <c r="P13" i="24" s="1"/>
  <c r="G13" i="24"/>
  <c r="F13" i="24"/>
  <c r="E13" i="24"/>
  <c r="D13" i="24"/>
  <c r="C13" i="24"/>
  <c r="AD8" i="18" s="1"/>
  <c r="M12" i="24"/>
  <c r="L12" i="24"/>
  <c r="K12" i="24"/>
  <c r="R12" i="24" s="1"/>
  <c r="J12" i="24"/>
  <c r="I12" i="24"/>
  <c r="H12" i="24"/>
  <c r="G12" i="24"/>
  <c r="F12" i="24"/>
  <c r="E12" i="24"/>
  <c r="D12" i="24"/>
  <c r="C12" i="24"/>
  <c r="AD7" i="18" s="1"/>
  <c r="M11" i="24"/>
  <c r="L11" i="24"/>
  <c r="K11" i="24"/>
  <c r="J11" i="24"/>
  <c r="Q11" i="24" s="1"/>
  <c r="I11" i="24"/>
  <c r="H11" i="24"/>
  <c r="P11" i="24" s="1"/>
  <c r="G11" i="24"/>
  <c r="F11" i="24"/>
  <c r="E11" i="24"/>
  <c r="D11" i="24"/>
  <c r="C11" i="24"/>
  <c r="AD6" i="18" s="1"/>
  <c r="M10" i="24"/>
  <c r="L10" i="24"/>
  <c r="L9" i="24" s="1"/>
  <c r="L8" i="24" s="1"/>
  <c r="K10" i="24"/>
  <c r="J10" i="24"/>
  <c r="Q10" i="24" s="1"/>
  <c r="I10" i="24"/>
  <c r="H10" i="24"/>
  <c r="P10" i="24" s="1"/>
  <c r="G10" i="24"/>
  <c r="F10" i="24"/>
  <c r="E10" i="24"/>
  <c r="D10" i="24"/>
  <c r="C10" i="24"/>
  <c r="AD5" i="18" s="1"/>
  <c r="Q59" i="24" l="1"/>
  <c r="Q66" i="24"/>
  <c r="P76" i="24"/>
  <c r="P26" i="24"/>
  <c r="Q79" i="24"/>
  <c r="Q67" i="24"/>
  <c r="Q31" i="24"/>
  <c r="R11" i="24"/>
  <c r="R24" i="24"/>
  <c r="G44" i="24"/>
  <c r="G43" i="24" s="1"/>
  <c r="C83" i="24"/>
  <c r="O85" i="24"/>
  <c r="P74" i="24"/>
  <c r="H48" i="24"/>
  <c r="P48" i="24" s="1"/>
  <c r="O69" i="24"/>
  <c r="R69" i="24"/>
  <c r="N81" i="24"/>
  <c r="P73" i="24"/>
  <c r="Q16" i="24"/>
  <c r="O10" i="24"/>
  <c r="R10" i="24"/>
  <c r="O15" i="24"/>
  <c r="N19" i="24"/>
  <c r="N34" i="24"/>
  <c r="O35" i="24"/>
  <c r="R35" i="24"/>
  <c r="O53" i="24"/>
  <c r="R53" i="24"/>
  <c r="O57" i="24"/>
  <c r="R57" i="24"/>
  <c r="C72" i="24"/>
  <c r="F73" i="24"/>
  <c r="D75" i="24"/>
  <c r="D65" i="24" s="1"/>
  <c r="E75" i="24"/>
  <c r="Q41" i="24"/>
  <c r="O14" i="24"/>
  <c r="N18" i="24"/>
  <c r="R19" i="24"/>
  <c r="H30" i="24"/>
  <c r="N33" i="24"/>
  <c r="O34" i="24"/>
  <c r="R34" i="24"/>
  <c r="R46" i="24"/>
  <c r="K48" i="24"/>
  <c r="R48" i="24" s="1"/>
  <c r="R49" i="24"/>
  <c r="J48" i="24"/>
  <c r="N51" i="24"/>
  <c r="O52" i="24"/>
  <c r="R52" i="24"/>
  <c r="F61" i="24"/>
  <c r="O61" i="24" s="1"/>
  <c r="O71" i="24"/>
  <c r="P45" i="24"/>
  <c r="Q50" i="24"/>
  <c r="Q26" i="24"/>
  <c r="E30" i="24"/>
  <c r="M9" i="24"/>
  <c r="M8" i="24" s="1"/>
  <c r="N13" i="24"/>
  <c r="N17" i="24"/>
  <c r="O18" i="24"/>
  <c r="R18" i="24"/>
  <c r="N32" i="24"/>
  <c r="O33" i="24"/>
  <c r="R33" i="24"/>
  <c r="R42" i="24"/>
  <c r="K44" i="24"/>
  <c r="R45" i="24"/>
  <c r="R50" i="24"/>
  <c r="R51" i="24"/>
  <c r="N56" i="24"/>
  <c r="K66" i="24"/>
  <c r="H83" i="24"/>
  <c r="P83" i="24" s="1"/>
  <c r="Q85" i="24"/>
  <c r="Q73" i="24"/>
  <c r="Q49" i="24"/>
  <c r="I61" i="24"/>
  <c r="O12" i="24"/>
  <c r="O17" i="24"/>
  <c r="R17" i="24"/>
  <c r="C66" i="24"/>
  <c r="AD43" i="18"/>
  <c r="P81" i="24"/>
  <c r="P69" i="24"/>
  <c r="Q60" i="24"/>
  <c r="Q12" i="24"/>
  <c r="O16" i="24"/>
  <c r="R16" i="24"/>
  <c r="O24" i="24"/>
  <c r="N29" i="24"/>
  <c r="R31" i="24"/>
  <c r="M44" i="24"/>
  <c r="J54" i="24"/>
  <c r="Q54" i="24" s="1"/>
  <c r="N61" i="24"/>
  <c r="N78" i="24"/>
  <c r="O79" i="24"/>
  <c r="R79" i="24"/>
  <c r="Q47" i="24"/>
  <c r="Q35" i="24"/>
  <c r="O56" i="24"/>
  <c r="R56" i="24"/>
  <c r="Q24" i="24"/>
  <c r="R15" i="24"/>
  <c r="E20" i="24"/>
  <c r="O28" i="24"/>
  <c r="R28" i="24"/>
  <c r="O29" i="24"/>
  <c r="R29" i="24"/>
  <c r="C30" i="24"/>
  <c r="AD27" i="18"/>
  <c r="K40" i="24"/>
  <c r="C48" i="24"/>
  <c r="F48" i="24" s="1"/>
  <c r="I48" i="24" s="1"/>
  <c r="AD34" i="18"/>
  <c r="K54" i="24"/>
  <c r="K59" i="24"/>
  <c r="R59" i="24" s="1"/>
  <c r="R61" i="24"/>
  <c r="I72" i="24"/>
  <c r="N77" i="24"/>
  <c r="R78" i="24"/>
  <c r="R84" i="24"/>
  <c r="P67" i="24"/>
  <c r="Q34" i="24"/>
  <c r="C44" i="24"/>
  <c r="C43" i="24" s="1"/>
  <c r="F43" i="24" s="1"/>
  <c r="I43" i="24" s="1"/>
  <c r="AD31" i="18"/>
  <c r="C40" i="24"/>
  <c r="AD30" i="18"/>
  <c r="O77" i="24"/>
  <c r="R77" i="24"/>
  <c r="P16" i="24"/>
  <c r="R13" i="24"/>
  <c r="R26" i="24"/>
  <c r="M20" i="24"/>
  <c r="O47" i="24"/>
  <c r="C54" i="24"/>
  <c r="AD39" i="18"/>
  <c r="R73" i="24"/>
  <c r="K72" i="24"/>
  <c r="R72" i="24" s="1"/>
  <c r="R74" i="24"/>
  <c r="K75" i="24"/>
  <c r="R75" i="24" s="1"/>
  <c r="R76" i="24"/>
  <c r="Q56" i="24"/>
  <c r="Q32" i="24"/>
  <c r="E80" i="24"/>
  <c r="N36" i="24"/>
  <c r="N55" i="24"/>
  <c r="O55" i="24"/>
  <c r="J30" i="24"/>
  <c r="E44" i="24"/>
  <c r="E43" i="24" s="1"/>
  <c r="E9" i="24"/>
  <c r="E8" i="24" s="1"/>
  <c r="E7" i="24" s="1"/>
  <c r="E6" i="24" s="1"/>
  <c r="O25" i="24"/>
  <c r="K30" i="24"/>
  <c r="O32" i="24"/>
  <c r="G40" i="24"/>
  <c r="G39" i="24" s="1"/>
  <c r="G38" i="24" s="1"/>
  <c r="D68" i="24"/>
  <c r="I75" i="24"/>
  <c r="O78" i="24"/>
  <c r="G20" i="24"/>
  <c r="N14" i="24"/>
  <c r="H20" i="24"/>
  <c r="N23" i="24"/>
  <c r="L30" i="24"/>
  <c r="H40" i="24"/>
  <c r="L54" i="24"/>
  <c r="E68" i="24"/>
  <c r="O70" i="24"/>
  <c r="O74" i="24"/>
  <c r="J75" i="24"/>
  <c r="N82" i="24"/>
  <c r="G80" i="24"/>
  <c r="G9" i="24"/>
  <c r="G8" i="24" s="1"/>
  <c r="M30" i="24"/>
  <c r="H9" i="24"/>
  <c r="N12" i="24"/>
  <c r="O13" i="24"/>
  <c r="O19" i="24"/>
  <c r="J20" i="24"/>
  <c r="O22" i="24"/>
  <c r="N31" i="24"/>
  <c r="J40" i="24"/>
  <c r="O42" i="24"/>
  <c r="M54" i="24"/>
  <c r="G68" i="24"/>
  <c r="O81" i="24"/>
  <c r="G83" i="24"/>
  <c r="O76" i="24"/>
  <c r="F80" i="24"/>
  <c r="N11" i="24"/>
  <c r="K20" i="24"/>
  <c r="R20" i="24" s="1"/>
  <c r="D20" i="24"/>
  <c r="O41" i="24"/>
  <c r="N45" i="24"/>
  <c r="N67" i="24"/>
  <c r="D9" i="24"/>
  <c r="D8" i="24" s="1"/>
  <c r="O23" i="24"/>
  <c r="N42" i="24"/>
  <c r="J9" i="24"/>
  <c r="O11" i="24"/>
  <c r="L20" i="24"/>
  <c r="L7" i="24" s="1"/>
  <c r="L6" i="24" s="1"/>
  <c r="O27" i="24"/>
  <c r="D30" i="24"/>
  <c r="F30" i="24" s="1"/>
  <c r="I30" i="24" s="1"/>
  <c r="M40" i="24"/>
  <c r="M39" i="24" s="1"/>
  <c r="L44" i="24"/>
  <c r="H43" i="24"/>
  <c r="N53" i="24"/>
  <c r="D54" i="24"/>
  <c r="O67" i="24"/>
  <c r="N70" i="24"/>
  <c r="C75" i="24"/>
  <c r="C68" i="24"/>
  <c r="N22" i="24"/>
  <c r="C9" i="24"/>
  <c r="F9" i="24" s="1"/>
  <c r="I9" i="24" s="1"/>
  <c r="O26" i="24"/>
  <c r="N52" i="24"/>
  <c r="E54" i="24"/>
  <c r="F54" i="24"/>
  <c r="C80" i="24"/>
  <c r="K83" i="24"/>
  <c r="N85" i="24"/>
  <c r="N25" i="24"/>
  <c r="M43" i="24"/>
  <c r="M38" i="24" s="1"/>
  <c r="N48" i="24"/>
  <c r="N83" i="24"/>
  <c r="K9" i="24"/>
  <c r="C20" i="24"/>
  <c r="G30" i="24"/>
  <c r="D40" i="24"/>
  <c r="D39" i="24" s="1"/>
  <c r="L48" i="24"/>
  <c r="O50" i="24"/>
  <c r="O51" i="24"/>
  <c r="M68" i="24"/>
  <c r="F75" i="24"/>
  <c r="D80" i="24"/>
  <c r="M83" i="24"/>
  <c r="M65" i="24" s="1"/>
  <c r="L83" i="24"/>
  <c r="L65" i="24" s="1"/>
  <c r="E40" i="24"/>
  <c r="E39" i="24" s="1"/>
  <c r="D44" i="24"/>
  <c r="D43" i="24" s="1"/>
  <c r="G75" i="24"/>
  <c r="H75" i="24"/>
  <c r="P75" i="24" s="1"/>
  <c r="F60" i="24"/>
  <c r="N60" i="24" s="1"/>
  <c r="C59" i="24"/>
  <c r="I65" i="24"/>
  <c r="L43" i="24"/>
  <c r="L38" i="24" s="1"/>
  <c r="O31" i="24"/>
  <c r="I58" i="24"/>
  <c r="I54" i="24" s="1"/>
  <c r="N64" i="24"/>
  <c r="J68" i="24"/>
  <c r="N76" i="24"/>
  <c r="J80" i="24"/>
  <c r="Q80" i="24" s="1"/>
  <c r="N21" i="24"/>
  <c r="C39" i="24"/>
  <c r="J44" i="24"/>
  <c r="N58" i="24"/>
  <c r="O64" i="24"/>
  <c r="K68" i="24"/>
  <c r="R68" i="24" s="1"/>
  <c r="K80" i="24"/>
  <c r="R80" i="24" s="1"/>
  <c r="N10" i="24"/>
  <c r="N41" i="24"/>
  <c r="O58" i="24"/>
  <c r="N66" i="24"/>
  <c r="O21" i="24"/>
  <c r="N69" i="24"/>
  <c r="N15" i="24"/>
  <c r="N27" i="24"/>
  <c r="N46" i="24"/>
  <c r="N71" i="24"/>
  <c r="H60" i="24"/>
  <c r="N68" i="24" l="1"/>
  <c r="Q68" i="24"/>
  <c r="Q20" i="24"/>
  <c r="R30" i="24"/>
  <c r="H59" i="24"/>
  <c r="P59" i="24" s="1"/>
  <c r="P60" i="24"/>
  <c r="C8" i="24"/>
  <c r="O48" i="24"/>
  <c r="C65" i="24"/>
  <c r="H39" i="24"/>
  <c r="P40" i="24"/>
  <c r="L5" i="24"/>
  <c r="J8" i="24"/>
  <c r="Q9" i="24"/>
  <c r="H8" i="24"/>
  <c r="P8" i="24" s="1"/>
  <c r="P9" i="24"/>
  <c r="R54" i="24"/>
  <c r="Q44" i="24"/>
  <c r="F40" i="24"/>
  <c r="I40" i="24" s="1"/>
  <c r="M7" i="24"/>
  <c r="M6" i="24" s="1"/>
  <c r="M5" i="24" s="1"/>
  <c r="M86" i="24" s="1"/>
  <c r="P20" i="24"/>
  <c r="Q30" i="24"/>
  <c r="P30" i="24"/>
  <c r="R44" i="24"/>
  <c r="K43" i="24"/>
  <c r="R43" i="24" s="1"/>
  <c r="O75" i="24"/>
  <c r="O83" i="24"/>
  <c r="R83" i="24"/>
  <c r="D7" i="24"/>
  <c r="D6" i="24" s="1"/>
  <c r="G65" i="24"/>
  <c r="P68" i="24"/>
  <c r="E65" i="24"/>
  <c r="N73" i="24"/>
  <c r="O73" i="24"/>
  <c r="F72" i="24"/>
  <c r="K39" i="24"/>
  <c r="R39" i="24" s="1"/>
  <c r="R40" i="24"/>
  <c r="P80" i="24"/>
  <c r="G7" i="24"/>
  <c r="G6" i="24" s="1"/>
  <c r="G5" i="24" s="1"/>
  <c r="G86" i="24" s="1"/>
  <c r="N54" i="24"/>
  <c r="Q72" i="24"/>
  <c r="F20" i="24"/>
  <c r="I20" i="24" s="1"/>
  <c r="J39" i="24"/>
  <c r="Q39" i="24" s="1"/>
  <c r="Q40" i="24"/>
  <c r="N75" i="24"/>
  <c r="Q75" i="24"/>
  <c r="Q83" i="24"/>
  <c r="H65" i="24"/>
  <c r="E38" i="24"/>
  <c r="K8" i="24"/>
  <c r="R9" i="24"/>
  <c r="P54" i="24"/>
  <c r="O66" i="24"/>
  <c r="R66" i="24"/>
  <c r="Q48" i="24"/>
  <c r="P44" i="24"/>
  <c r="O80" i="24"/>
  <c r="O54" i="24"/>
  <c r="L86" i="24"/>
  <c r="E5" i="24"/>
  <c r="E86" i="24" s="1"/>
  <c r="N80" i="24"/>
  <c r="O20" i="24"/>
  <c r="F44" i="24"/>
  <c r="I44" i="24" s="1"/>
  <c r="D38" i="24"/>
  <c r="D5" i="24" s="1"/>
  <c r="D86" i="24" s="1"/>
  <c r="H7" i="24"/>
  <c r="O30" i="24"/>
  <c r="K65" i="24"/>
  <c r="O68" i="24"/>
  <c r="O43" i="24"/>
  <c r="F39" i="24"/>
  <c r="C38" i="24"/>
  <c r="N40" i="24"/>
  <c r="J7" i="24"/>
  <c r="O44" i="24"/>
  <c r="O40" i="24"/>
  <c r="J65" i="24"/>
  <c r="N44" i="24"/>
  <c r="J43" i="24"/>
  <c r="I60" i="24"/>
  <c r="I59" i="24" s="1"/>
  <c r="F59" i="24"/>
  <c r="O9" i="24"/>
  <c r="K38" i="24"/>
  <c r="R38" i="24" s="1"/>
  <c r="O60" i="24"/>
  <c r="N9" i="24"/>
  <c r="N30" i="24"/>
  <c r="F8" i="24"/>
  <c r="N8" i="24" s="1"/>
  <c r="C7" i="24"/>
  <c r="L83" i="23"/>
  <c r="O85" i="23"/>
  <c r="N85" i="23"/>
  <c r="H83" i="23"/>
  <c r="E83" i="23"/>
  <c r="M83" i="23"/>
  <c r="I83" i="23"/>
  <c r="G83" i="23"/>
  <c r="F83" i="23"/>
  <c r="D83" i="23"/>
  <c r="C83" i="23"/>
  <c r="H80" i="23"/>
  <c r="E80" i="23"/>
  <c r="L80" i="23"/>
  <c r="J80" i="23"/>
  <c r="I80" i="23"/>
  <c r="F80" i="23"/>
  <c r="D80" i="23"/>
  <c r="M80" i="23"/>
  <c r="N79" i="23"/>
  <c r="O78" i="23"/>
  <c r="K75" i="23"/>
  <c r="N76" i="23"/>
  <c r="G75" i="23"/>
  <c r="F75" i="23"/>
  <c r="E75" i="23"/>
  <c r="C75" i="23"/>
  <c r="N74" i="23"/>
  <c r="G72" i="23"/>
  <c r="F72" i="23"/>
  <c r="D72" i="23"/>
  <c r="O73" i="23"/>
  <c r="J72" i="23"/>
  <c r="I72" i="23"/>
  <c r="H72" i="23"/>
  <c r="E72" i="23"/>
  <c r="O71" i="23"/>
  <c r="N71" i="23"/>
  <c r="O70" i="23"/>
  <c r="N70" i="23"/>
  <c r="H68" i="23"/>
  <c r="E68" i="23"/>
  <c r="M68" i="23"/>
  <c r="J68" i="23"/>
  <c r="N68" i="23" s="1"/>
  <c r="G68" i="23"/>
  <c r="F68" i="23"/>
  <c r="D68" i="23"/>
  <c r="L66" i="23"/>
  <c r="K66" i="23"/>
  <c r="N67" i="23"/>
  <c r="I66" i="23"/>
  <c r="H66" i="23"/>
  <c r="F66" i="23"/>
  <c r="D66" i="23"/>
  <c r="M66" i="23"/>
  <c r="J66" i="23"/>
  <c r="G66" i="23"/>
  <c r="E66" i="23"/>
  <c r="C66" i="23"/>
  <c r="N64" i="23"/>
  <c r="O63" i="23"/>
  <c r="N63" i="23"/>
  <c r="O62" i="23"/>
  <c r="N62" i="23"/>
  <c r="M61" i="23"/>
  <c r="M60" i="23" s="1"/>
  <c r="M59" i="23" s="1"/>
  <c r="L61" i="23"/>
  <c r="L60" i="23" s="1"/>
  <c r="L59" i="23" s="1"/>
  <c r="K61" i="23"/>
  <c r="K60" i="23" s="1"/>
  <c r="K59" i="23" s="1"/>
  <c r="J61" i="23"/>
  <c r="J60" i="23" s="1"/>
  <c r="H61" i="23"/>
  <c r="H60" i="23" s="1"/>
  <c r="H59" i="23" s="1"/>
  <c r="G61" i="23"/>
  <c r="G60" i="23" s="1"/>
  <c r="G59" i="23" s="1"/>
  <c r="E61" i="23"/>
  <c r="E60" i="23" s="1"/>
  <c r="E59" i="23" s="1"/>
  <c r="D61" i="23"/>
  <c r="C61" i="23"/>
  <c r="F61" i="23" s="1"/>
  <c r="D60" i="23"/>
  <c r="D59" i="23" s="1"/>
  <c r="O58" i="23"/>
  <c r="O57" i="23"/>
  <c r="N57" i="23"/>
  <c r="H54" i="23"/>
  <c r="E54" i="23"/>
  <c r="O55" i="23"/>
  <c r="K54" i="23"/>
  <c r="J54" i="23"/>
  <c r="O53" i="23"/>
  <c r="N51" i="23"/>
  <c r="O50" i="23"/>
  <c r="M48" i="23"/>
  <c r="N49" i="23"/>
  <c r="E48" i="23"/>
  <c r="H48" i="23"/>
  <c r="O47" i="23"/>
  <c r="M44" i="23"/>
  <c r="H44" i="23"/>
  <c r="L44" i="23"/>
  <c r="N42" i="23"/>
  <c r="L40" i="23"/>
  <c r="L39" i="23" s="1"/>
  <c r="J40" i="23"/>
  <c r="G40" i="23"/>
  <c r="G39" i="23" s="1"/>
  <c r="O41" i="23"/>
  <c r="D40" i="23"/>
  <c r="D39" i="23" s="1"/>
  <c r="C40" i="23"/>
  <c r="M40" i="23"/>
  <c r="M39" i="23" s="1"/>
  <c r="O36" i="23"/>
  <c r="N36" i="23"/>
  <c r="O35" i="23"/>
  <c r="N35" i="23"/>
  <c r="O34" i="23"/>
  <c r="N34" i="23"/>
  <c r="O33" i="23"/>
  <c r="N33" i="23"/>
  <c r="O32" i="23"/>
  <c r="H30" i="23"/>
  <c r="N31" i="23"/>
  <c r="G30" i="23"/>
  <c r="E30" i="23"/>
  <c r="C30" i="23"/>
  <c r="O29" i="23"/>
  <c r="N29" i="23"/>
  <c r="O28" i="23"/>
  <c r="N28" i="23"/>
  <c r="N26" i="23"/>
  <c r="M20" i="23"/>
  <c r="N25" i="23"/>
  <c r="N24" i="23"/>
  <c r="O23" i="23"/>
  <c r="N22" i="23"/>
  <c r="O21" i="23"/>
  <c r="E20" i="23"/>
  <c r="N19" i="23"/>
  <c r="O18" i="23"/>
  <c r="N18" i="23"/>
  <c r="N17" i="23"/>
  <c r="O16" i="23"/>
  <c r="N16" i="23"/>
  <c r="O15" i="23"/>
  <c r="L9" i="23"/>
  <c r="L8" i="23" s="1"/>
  <c r="O14" i="23"/>
  <c r="N12" i="23"/>
  <c r="O11" i="23"/>
  <c r="N10" i="23"/>
  <c r="N43" i="24" l="1"/>
  <c r="Q43" i="24"/>
  <c r="R65" i="24"/>
  <c r="O72" i="24"/>
  <c r="N72" i="24"/>
  <c r="Q65" i="24"/>
  <c r="H6" i="24"/>
  <c r="P7" i="24"/>
  <c r="F65" i="24"/>
  <c r="O65" i="24" s="1"/>
  <c r="P43" i="24"/>
  <c r="H38" i="24"/>
  <c r="P39" i="24"/>
  <c r="N20" i="24"/>
  <c r="N39" i="24"/>
  <c r="P65" i="24"/>
  <c r="R8" i="24"/>
  <c r="K7" i="24"/>
  <c r="Q8" i="24"/>
  <c r="N55" i="23"/>
  <c r="H43" i="23"/>
  <c r="H38" i="23" s="1"/>
  <c r="J6" i="24"/>
  <c r="N59" i="24"/>
  <c r="O59" i="24"/>
  <c r="J38" i="24"/>
  <c r="Q38" i="24" s="1"/>
  <c r="C6" i="24"/>
  <c r="C5" i="24" s="1"/>
  <c r="C86" i="24" s="1"/>
  <c r="F7" i="24"/>
  <c r="N7" i="24" s="1"/>
  <c r="I8" i="24"/>
  <c r="O8" i="24"/>
  <c r="I39" i="24"/>
  <c r="I38" i="24" s="1"/>
  <c r="F38" i="24"/>
  <c r="O38" i="24" s="1"/>
  <c r="O39" i="24"/>
  <c r="L54" i="23"/>
  <c r="D75" i="23"/>
  <c r="C48" i="23"/>
  <c r="E9" i="23"/>
  <c r="E8" i="23" s="1"/>
  <c r="E7" i="23" s="1"/>
  <c r="E6" i="23" s="1"/>
  <c r="G20" i="23"/>
  <c r="C44" i="23"/>
  <c r="C43" i="23" s="1"/>
  <c r="D44" i="23"/>
  <c r="D48" i="23"/>
  <c r="M54" i="23"/>
  <c r="H20" i="23"/>
  <c r="H7" i="23" s="1"/>
  <c r="H6" i="23" s="1"/>
  <c r="E40" i="23"/>
  <c r="E39" i="23" s="1"/>
  <c r="C54" i="23"/>
  <c r="J30" i="23"/>
  <c r="K30" i="23"/>
  <c r="G80" i="23"/>
  <c r="G65" i="23" s="1"/>
  <c r="H9" i="23"/>
  <c r="H8" i="23" s="1"/>
  <c r="N14" i="23"/>
  <c r="O17" i="23"/>
  <c r="O19" i="23"/>
  <c r="J20" i="23"/>
  <c r="N23" i="23"/>
  <c r="O25" i="23"/>
  <c r="L30" i="23"/>
  <c r="G44" i="23"/>
  <c r="G48" i="23"/>
  <c r="D54" i="23"/>
  <c r="O69" i="23"/>
  <c r="L72" i="23"/>
  <c r="O74" i="23"/>
  <c r="I75" i="23"/>
  <c r="N78" i="23"/>
  <c r="G9" i="23"/>
  <c r="G8" i="23" s="1"/>
  <c r="E44" i="23"/>
  <c r="E43" i="23" s="1"/>
  <c r="H75" i="23"/>
  <c r="H65" i="23" s="1"/>
  <c r="N13" i="23"/>
  <c r="K20" i="23"/>
  <c r="O24" i="23"/>
  <c r="M30" i="23"/>
  <c r="H40" i="23"/>
  <c r="H39" i="23" s="1"/>
  <c r="L68" i="23"/>
  <c r="J75" i="23"/>
  <c r="N75" i="23" s="1"/>
  <c r="O79" i="23"/>
  <c r="N82" i="23"/>
  <c r="N47" i="23"/>
  <c r="N53" i="23"/>
  <c r="O56" i="23"/>
  <c r="N73" i="23"/>
  <c r="M72" i="23"/>
  <c r="O75" i="23"/>
  <c r="O77" i="23"/>
  <c r="O82" i="23"/>
  <c r="N84" i="23"/>
  <c r="N72" i="23"/>
  <c r="O13" i="23"/>
  <c r="K9" i="23"/>
  <c r="K8" i="23" s="1"/>
  <c r="O12" i="23"/>
  <c r="C9" i="23"/>
  <c r="C8" i="23" s="1"/>
  <c r="D20" i="23"/>
  <c r="N46" i="23"/>
  <c r="N50" i="23"/>
  <c r="N52" i="23"/>
  <c r="G54" i="23"/>
  <c r="D65" i="23"/>
  <c r="C68" i="23"/>
  <c r="C65" i="23" s="1"/>
  <c r="C72" i="23"/>
  <c r="L75" i="23"/>
  <c r="O81" i="23"/>
  <c r="K83" i="23"/>
  <c r="O83" i="23" s="1"/>
  <c r="J9" i="23"/>
  <c r="J8" i="23" s="1"/>
  <c r="D30" i="23"/>
  <c r="F30" i="23" s="1"/>
  <c r="K40" i="23"/>
  <c r="K39" i="23" s="1"/>
  <c r="N45" i="23"/>
  <c r="O46" i="23"/>
  <c r="O49" i="23"/>
  <c r="O51" i="23"/>
  <c r="O52" i="23"/>
  <c r="M75" i="23"/>
  <c r="D9" i="23"/>
  <c r="D8" i="23" s="1"/>
  <c r="I68" i="23"/>
  <c r="L20" i="23"/>
  <c r="M9" i="23"/>
  <c r="M8" i="23" s="1"/>
  <c r="C20" i="23"/>
  <c r="F20" i="23" s="1"/>
  <c r="I20" i="23" s="1"/>
  <c r="O27" i="23"/>
  <c r="O45" i="23"/>
  <c r="L48" i="23"/>
  <c r="O26" i="23"/>
  <c r="C80" i="23"/>
  <c r="J83" i="23"/>
  <c r="N83" i="23" s="1"/>
  <c r="J39" i="23"/>
  <c r="F65" i="23"/>
  <c r="N80" i="23"/>
  <c r="M43" i="23"/>
  <c r="M38" i="23" s="1"/>
  <c r="C39" i="23"/>
  <c r="L43" i="23"/>
  <c r="L38" i="23" s="1"/>
  <c r="I65" i="23"/>
  <c r="I61" i="23"/>
  <c r="O61" i="23"/>
  <c r="E65" i="23"/>
  <c r="J59" i="23"/>
  <c r="O66" i="23"/>
  <c r="J65" i="23"/>
  <c r="O31" i="23"/>
  <c r="N32" i="23"/>
  <c r="J44" i="23"/>
  <c r="N58" i="23"/>
  <c r="O64" i="23"/>
  <c r="K68" i="23"/>
  <c r="O68" i="23" s="1"/>
  <c r="O76" i="23"/>
  <c r="N77" i="23"/>
  <c r="K80" i="23"/>
  <c r="O80" i="23" s="1"/>
  <c r="N21" i="23"/>
  <c r="N41" i="23"/>
  <c r="K44" i="23"/>
  <c r="N66" i="23"/>
  <c r="O10" i="23"/>
  <c r="N11" i="23"/>
  <c r="O22" i="23"/>
  <c r="O42" i="23"/>
  <c r="C60" i="23"/>
  <c r="N61" i="23"/>
  <c r="O67" i="23"/>
  <c r="J48" i="23"/>
  <c r="N69" i="23"/>
  <c r="K72" i="23"/>
  <c r="O72" i="23" s="1"/>
  <c r="N81" i="23"/>
  <c r="K48" i="23"/>
  <c r="I55" i="23"/>
  <c r="I54" i="23" s="1"/>
  <c r="F54" i="23"/>
  <c r="N54" i="23" s="1"/>
  <c r="N15" i="23"/>
  <c r="N27" i="23"/>
  <c r="N56" i="23"/>
  <c r="O84" i="23"/>
  <c r="L83" i="22"/>
  <c r="O85" i="22"/>
  <c r="O84" i="22"/>
  <c r="M83" i="22"/>
  <c r="N84" i="22"/>
  <c r="I83" i="22"/>
  <c r="H83" i="22"/>
  <c r="E83" i="22"/>
  <c r="K83" i="22"/>
  <c r="C83" i="22"/>
  <c r="O82" i="22"/>
  <c r="N82" i="22"/>
  <c r="M80" i="22"/>
  <c r="L80" i="22"/>
  <c r="H80" i="22"/>
  <c r="E80" i="22"/>
  <c r="C80" i="22"/>
  <c r="I80" i="22"/>
  <c r="F80" i="22"/>
  <c r="F75" i="22"/>
  <c r="O78" i="22"/>
  <c r="H75" i="22"/>
  <c r="O77" i="22"/>
  <c r="N77" i="22"/>
  <c r="E75" i="22"/>
  <c r="M75" i="22"/>
  <c r="I75" i="22"/>
  <c r="K75" i="22"/>
  <c r="N74" i="22"/>
  <c r="O73" i="22"/>
  <c r="J72" i="22"/>
  <c r="I72" i="22"/>
  <c r="H72" i="22"/>
  <c r="N73" i="22"/>
  <c r="E72" i="22"/>
  <c r="C72" i="22"/>
  <c r="K72" i="22"/>
  <c r="D72" i="22"/>
  <c r="O71" i="22"/>
  <c r="L68" i="22"/>
  <c r="N71" i="22"/>
  <c r="H68" i="22"/>
  <c r="O70" i="22"/>
  <c r="N70" i="22"/>
  <c r="M68" i="22"/>
  <c r="F68" i="22"/>
  <c r="O67" i="22"/>
  <c r="M66" i="22"/>
  <c r="K66" i="22"/>
  <c r="I66" i="22"/>
  <c r="G66" i="22"/>
  <c r="F66" i="22"/>
  <c r="E66" i="22"/>
  <c r="C66" i="22"/>
  <c r="L66" i="22"/>
  <c r="J66" i="22"/>
  <c r="H66" i="22"/>
  <c r="D66" i="22"/>
  <c r="O63" i="22"/>
  <c r="N63" i="22"/>
  <c r="O62" i="22"/>
  <c r="N62" i="22"/>
  <c r="M61" i="22"/>
  <c r="M60" i="22" s="1"/>
  <c r="M59" i="22" s="1"/>
  <c r="L61" i="22"/>
  <c r="L60" i="22" s="1"/>
  <c r="L59" i="22" s="1"/>
  <c r="K61" i="22"/>
  <c r="K60" i="22" s="1"/>
  <c r="K59" i="22" s="1"/>
  <c r="J61" i="22"/>
  <c r="H61" i="22"/>
  <c r="H60" i="22" s="1"/>
  <c r="H59" i="22" s="1"/>
  <c r="G61" i="22"/>
  <c r="G60" i="22" s="1"/>
  <c r="G59" i="22" s="1"/>
  <c r="E61" i="22"/>
  <c r="E60" i="22" s="1"/>
  <c r="E59" i="22" s="1"/>
  <c r="D61" i="22"/>
  <c r="D60" i="22" s="1"/>
  <c r="D59" i="22" s="1"/>
  <c r="C61" i="22"/>
  <c r="C60" i="22" s="1"/>
  <c r="J60" i="22"/>
  <c r="J59" i="22" s="1"/>
  <c r="O58" i="22"/>
  <c r="N58" i="22"/>
  <c r="N57" i="22"/>
  <c r="O57" i="22"/>
  <c r="J54" i="22"/>
  <c r="O56" i="22"/>
  <c r="H54" i="22"/>
  <c r="N56" i="22"/>
  <c r="E54" i="22"/>
  <c r="C54" i="22"/>
  <c r="O55" i="22"/>
  <c r="N55" i="22"/>
  <c r="M54" i="22"/>
  <c r="K54" i="22"/>
  <c r="G54" i="22"/>
  <c r="N53" i="22"/>
  <c r="O53" i="22"/>
  <c r="O52" i="22"/>
  <c r="M48" i="22"/>
  <c r="O51" i="22"/>
  <c r="H48" i="22"/>
  <c r="D48" i="22"/>
  <c r="L48" i="22"/>
  <c r="N49" i="22"/>
  <c r="G48" i="22"/>
  <c r="O49" i="22"/>
  <c r="C48" i="22"/>
  <c r="N47" i="22"/>
  <c r="O47" i="22"/>
  <c r="L44" i="22"/>
  <c r="L43" i="22" s="1"/>
  <c r="O46" i="22"/>
  <c r="N46" i="22"/>
  <c r="O45" i="22"/>
  <c r="N45" i="22"/>
  <c r="G44" i="22"/>
  <c r="D44" i="22"/>
  <c r="M44" i="22"/>
  <c r="E44" i="22"/>
  <c r="O42" i="22"/>
  <c r="N42" i="22"/>
  <c r="O41" i="22"/>
  <c r="N41" i="22"/>
  <c r="H40" i="22"/>
  <c r="H39" i="22" s="1"/>
  <c r="G40" i="22"/>
  <c r="G39" i="22" s="1"/>
  <c r="E40" i="22"/>
  <c r="E39" i="22" s="1"/>
  <c r="D40" i="22"/>
  <c r="D39" i="22" s="1"/>
  <c r="C40" i="22"/>
  <c r="L40" i="22"/>
  <c r="L39" i="22" s="1"/>
  <c r="K40" i="22"/>
  <c r="K39" i="22" s="1"/>
  <c r="O36" i="22"/>
  <c r="N36" i="22"/>
  <c r="O35" i="22"/>
  <c r="O34" i="22"/>
  <c r="N34" i="22"/>
  <c r="O33" i="22"/>
  <c r="N33" i="22"/>
  <c r="L30" i="22"/>
  <c r="C30" i="22"/>
  <c r="E30" i="22"/>
  <c r="D30" i="22"/>
  <c r="M30" i="22"/>
  <c r="N29" i="22"/>
  <c r="O29" i="22"/>
  <c r="O28" i="22"/>
  <c r="N28" i="22"/>
  <c r="O27" i="22"/>
  <c r="N27" i="22"/>
  <c r="O26" i="22"/>
  <c r="N26" i="22"/>
  <c r="O25" i="22"/>
  <c r="N25" i="22"/>
  <c r="M20" i="22"/>
  <c r="N22" i="22"/>
  <c r="O22" i="22"/>
  <c r="O21" i="22"/>
  <c r="N21" i="22"/>
  <c r="G20" i="22"/>
  <c r="C20" i="22"/>
  <c r="O19" i="22"/>
  <c r="N19" i="22"/>
  <c r="O18" i="22"/>
  <c r="N17" i="22"/>
  <c r="O16" i="22"/>
  <c r="N16" i="22"/>
  <c r="N15" i="22"/>
  <c r="O15" i="22"/>
  <c r="O14" i="22"/>
  <c r="N14" i="22"/>
  <c r="O13" i="22"/>
  <c r="N13" i="22"/>
  <c r="O12" i="22"/>
  <c r="O10" i="22"/>
  <c r="N10" i="22"/>
  <c r="H9" i="22"/>
  <c r="H8" i="22" s="1"/>
  <c r="L7" i="23" l="1"/>
  <c r="L6" i="23" s="1"/>
  <c r="H5" i="24"/>
  <c r="P6" i="24"/>
  <c r="R7" i="24"/>
  <c r="K6" i="24"/>
  <c r="Q6" i="24" s="1"/>
  <c r="N65" i="24"/>
  <c r="Q7" i="24"/>
  <c r="G43" i="22"/>
  <c r="P38" i="24"/>
  <c r="L65" i="23"/>
  <c r="N65" i="23"/>
  <c r="E38" i="23"/>
  <c r="E5" i="23" s="1"/>
  <c r="E86" i="23" s="1"/>
  <c r="G7" i="23"/>
  <c r="G6" i="23" s="1"/>
  <c r="D7" i="23"/>
  <c r="D6" i="23" s="1"/>
  <c r="F9" i="23"/>
  <c r="I9" i="23" s="1"/>
  <c r="J5" i="24"/>
  <c r="I7" i="24"/>
  <c r="I6" i="24" s="1"/>
  <c r="I5" i="24" s="1"/>
  <c r="I86" i="24" s="1"/>
  <c r="F6" i="24"/>
  <c r="N6" i="24" s="1"/>
  <c r="O7" i="24"/>
  <c r="N38" i="24"/>
  <c r="I30" i="23"/>
  <c r="N30" i="23"/>
  <c r="O30" i="23"/>
  <c r="D43" i="23"/>
  <c r="D38" i="23" s="1"/>
  <c r="D5" i="23" s="1"/>
  <c r="D86" i="23" s="1"/>
  <c r="F40" i="23"/>
  <c r="O40" i="23" s="1"/>
  <c r="F48" i="23"/>
  <c r="I48" i="23" s="1"/>
  <c r="F44" i="23"/>
  <c r="I44" i="23" s="1"/>
  <c r="M65" i="23"/>
  <c r="G43" i="23"/>
  <c r="G38" i="23" s="1"/>
  <c r="G5" i="23" s="1"/>
  <c r="G86" i="23" s="1"/>
  <c r="M7" i="23"/>
  <c r="M6" i="23" s="1"/>
  <c r="M5" i="23" s="1"/>
  <c r="F60" i="22"/>
  <c r="O60" i="22" s="1"/>
  <c r="C59" i="22"/>
  <c r="F61" i="22"/>
  <c r="O61" i="22" s="1"/>
  <c r="M43" i="22"/>
  <c r="F40" i="22"/>
  <c r="L5" i="23"/>
  <c r="C38" i="23"/>
  <c r="F39" i="23"/>
  <c r="K43" i="23"/>
  <c r="J7" i="23"/>
  <c r="O54" i="23"/>
  <c r="J43" i="23"/>
  <c r="J38" i="23" s="1"/>
  <c r="K65" i="23"/>
  <c r="O65" i="23" s="1"/>
  <c r="N9" i="23"/>
  <c r="O20" i="23"/>
  <c r="K7" i="23"/>
  <c r="F8" i="23"/>
  <c r="I8" i="23" s="1"/>
  <c r="C7" i="23"/>
  <c r="N20" i="23"/>
  <c r="F60" i="23"/>
  <c r="C59" i="23"/>
  <c r="H5" i="23"/>
  <c r="H86" i="23" s="1"/>
  <c r="O75" i="22"/>
  <c r="M9" i="22"/>
  <c r="M8" i="22" s="1"/>
  <c r="M7" i="22" s="1"/>
  <c r="M6" i="22" s="1"/>
  <c r="L9" i="22"/>
  <c r="L8" i="22" s="1"/>
  <c r="L7" i="22" s="1"/>
  <c r="L6" i="22" s="1"/>
  <c r="C9" i="22"/>
  <c r="O24" i="22"/>
  <c r="N52" i="22"/>
  <c r="D54" i="22"/>
  <c r="O69" i="22"/>
  <c r="G72" i="22"/>
  <c r="F72" i="22"/>
  <c r="C75" i="22"/>
  <c r="O81" i="22"/>
  <c r="J20" i="22"/>
  <c r="G38" i="22"/>
  <c r="J48" i="22"/>
  <c r="J9" i="22"/>
  <c r="J8" i="22" s="1"/>
  <c r="K20" i="22"/>
  <c r="L20" i="22"/>
  <c r="N32" i="22"/>
  <c r="C68" i="22"/>
  <c r="D75" i="22"/>
  <c r="G75" i="22"/>
  <c r="G83" i="22"/>
  <c r="D9" i="22"/>
  <c r="D8" i="22" s="1"/>
  <c r="D7" i="22" s="1"/>
  <c r="D6" i="22" s="1"/>
  <c r="J30" i="22"/>
  <c r="O32" i="22"/>
  <c r="C44" i="22"/>
  <c r="F44" i="22" s="1"/>
  <c r="I44" i="22" s="1"/>
  <c r="K48" i="22"/>
  <c r="O50" i="22"/>
  <c r="D20" i="22"/>
  <c r="O31" i="22"/>
  <c r="F83" i="22"/>
  <c r="O83" i="22" s="1"/>
  <c r="E9" i="22"/>
  <c r="E8" i="22" s="1"/>
  <c r="N12" i="22"/>
  <c r="O17" i="22"/>
  <c r="N18" i="22"/>
  <c r="K30" i="22"/>
  <c r="D68" i="22"/>
  <c r="L72" i="22"/>
  <c r="N79" i="22"/>
  <c r="D80" i="22"/>
  <c r="G9" i="22"/>
  <c r="G8" i="22" s="1"/>
  <c r="E20" i="22"/>
  <c r="F20" i="22" s="1"/>
  <c r="I20" i="22" s="1"/>
  <c r="J40" i="22"/>
  <c r="J39" i="22" s="1"/>
  <c r="E68" i="22"/>
  <c r="E65" i="22" s="1"/>
  <c r="M72" i="22"/>
  <c r="M65" i="22" s="1"/>
  <c r="N78" i="22"/>
  <c r="J83" i="22"/>
  <c r="H30" i="22"/>
  <c r="N24" i="22"/>
  <c r="F30" i="22"/>
  <c r="I30" i="22" s="1"/>
  <c r="M40" i="22"/>
  <c r="M39" i="22" s="1"/>
  <c r="H44" i="22"/>
  <c r="H43" i="22" s="1"/>
  <c r="H38" i="22" s="1"/>
  <c r="H65" i="22"/>
  <c r="N69" i="22"/>
  <c r="N81" i="22"/>
  <c r="H20" i="22"/>
  <c r="O23" i="22"/>
  <c r="G68" i="22"/>
  <c r="I68" i="22"/>
  <c r="J75" i="22"/>
  <c r="N75" i="22" s="1"/>
  <c r="G80" i="22"/>
  <c r="E48" i="22"/>
  <c r="E43" i="22" s="1"/>
  <c r="E38" i="22" s="1"/>
  <c r="L54" i="22"/>
  <c r="O76" i="22"/>
  <c r="O79" i="22"/>
  <c r="N85" i="22"/>
  <c r="G30" i="22"/>
  <c r="G7" i="22" s="1"/>
  <c r="G6" i="22" s="1"/>
  <c r="N50" i="22"/>
  <c r="N67" i="22"/>
  <c r="L75" i="22"/>
  <c r="D83" i="22"/>
  <c r="F59" i="22"/>
  <c r="O59" i="22" s="1"/>
  <c r="N60" i="22"/>
  <c r="L38" i="22"/>
  <c r="O66" i="22"/>
  <c r="D43" i="22"/>
  <c r="D38" i="22" s="1"/>
  <c r="I65" i="22"/>
  <c r="O11" i="22"/>
  <c r="N11" i="22"/>
  <c r="K9" i="22"/>
  <c r="O74" i="22"/>
  <c r="N31" i="22"/>
  <c r="N51" i="22"/>
  <c r="N64" i="22"/>
  <c r="J68" i="22"/>
  <c r="N68" i="22" s="1"/>
  <c r="N76" i="22"/>
  <c r="J80" i="22"/>
  <c r="N80" i="22" s="1"/>
  <c r="C39" i="22"/>
  <c r="J44" i="22"/>
  <c r="O64" i="22"/>
  <c r="K68" i="22"/>
  <c r="K80" i="22"/>
  <c r="O80" i="22" s="1"/>
  <c r="K44" i="22"/>
  <c r="N66" i="22"/>
  <c r="N23" i="22"/>
  <c r="N35" i="22"/>
  <c r="N61" i="22"/>
  <c r="I54" i="22"/>
  <c r="F54" i="22"/>
  <c r="I60" i="22" l="1"/>
  <c r="I59" i="22" s="1"/>
  <c r="F65" i="22"/>
  <c r="E7" i="22"/>
  <c r="E6" i="22" s="1"/>
  <c r="O48" i="23"/>
  <c r="O9" i="23"/>
  <c r="N40" i="22"/>
  <c r="R6" i="24"/>
  <c r="K5" i="24"/>
  <c r="H86" i="24"/>
  <c r="P5" i="24"/>
  <c r="E5" i="22"/>
  <c r="E86" i="22" s="1"/>
  <c r="J7" i="22"/>
  <c r="J6" i="22" s="1"/>
  <c r="F9" i="22"/>
  <c r="I9" i="22" s="1"/>
  <c r="L86" i="23"/>
  <c r="Z59" i="18" s="1"/>
  <c r="M86" i="23"/>
  <c r="AA59" i="18" s="1"/>
  <c r="O44" i="23"/>
  <c r="N44" i="23"/>
  <c r="V59" i="18"/>
  <c r="V63" i="18"/>
  <c r="R59" i="18"/>
  <c r="R63" i="18"/>
  <c r="S59" i="18"/>
  <c r="S63" i="18"/>
  <c r="J86" i="24"/>
  <c r="F5" i="24"/>
  <c r="O6" i="24"/>
  <c r="U59" i="18"/>
  <c r="U63" i="18"/>
  <c r="I40" i="23"/>
  <c r="N40" i="23"/>
  <c r="F43" i="23"/>
  <c r="I43" i="23" s="1"/>
  <c r="N48" i="23"/>
  <c r="N83" i="22"/>
  <c r="C65" i="22"/>
  <c r="L65" i="22"/>
  <c r="D65" i="22"/>
  <c r="N72" i="22"/>
  <c r="O72" i="22"/>
  <c r="G65" i="22"/>
  <c r="I61" i="22"/>
  <c r="N59" i="22"/>
  <c r="F48" i="22"/>
  <c r="I48" i="22" s="1"/>
  <c r="M38" i="22"/>
  <c r="M5" i="22" s="1"/>
  <c r="M86" i="22" s="1"/>
  <c r="D5" i="22"/>
  <c r="O40" i="22"/>
  <c r="I40" i="22"/>
  <c r="O30" i="22"/>
  <c r="N30" i="22"/>
  <c r="H7" i="22"/>
  <c r="H6" i="22" s="1"/>
  <c r="C6" i="23"/>
  <c r="C5" i="23" s="1"/>
  <c r="C86" i="23" s="1"/>
  <c r="F7" i="23"/>
  <c r="O7" i="23" s="1"/>
  <c r="I39" i="23"/>
  <c r="I38" i="23" s="1"/>
  <c r="N39" i="23"/>
  <c r="O8" i="23"/>
  <c r="K6" i="23"/>
  <c r="I60" i="23"/>
  <c r="I59" i="23" s="1"/>
  <c r="F59" i="23"/>
  <c r="O60" i="23"/>
  <c r="N60" i="23"/>
  <c r="O39" i="23"/>
  <c r="N8" i="23"/>
  <c r="K38" i="23"/>
  <c r="J6" i="23"/>
  <c r="C8" i="22"/>
  <c r="F8" i="22" s="1"/>
  <c r="G5" i="22"/>
  <c r="C43" i="22"/>
  <c r="F43" i="22" s="1"/>
  <c r="I43" i="22" s="1"/>
  <c r="N44" i="22"/>
  <c r="J43" i="22"/>
  <c r="F39" i="22"/>
  <c r="L5" i="22"/>
  <c r="O20" i="22"/>
  <c r="H5" i="22"/>
  <c r="H86" i="22" s="1"/>
  <c r="J65" i="22"/>
  <c r="K8" i="22"/>
  <c r="O54" i="22"/>
  <c r="N54" i="22"/>
  <c r="N20" i="22"/>
  <c r="O44" i="22"/>
  <c r="K43" i="22"/>
  <c r="K65" i="22"/>
  <c r="O65" i="22" s="1"/>
  <c r="O68" i="22"/>
  <c r="H83" i="21"/>
  <c r="N85" i="21"/>
  <c r="O84" i="21"/>
  <c r="G83" i="21"/>
  <c r="F83" i="21"/>
  <c r="D83" i="21"/>
  <c r="C83" i="21"/>
  <c r="M83" i="21"/>
  <c r="L83" i="21"/>
  <c r="K83" i="21"/>
  <c r="J83" i="21"/>
  <c r="E83" i="21"/>
  <c r="H80" i="21"/>
  <c r="M80" i="21"/>
  <c r="J80" i="21"/>
  <c r="F80" i="21"/>
  <c r="E80" i="21"/>
  <c r="G80" i="21"/>
  <c r="C80" i="21"/>
  <c r="O79" i="21"/>
  <c r="N79" i="21"/>
  <c r="O78" i="21"/>
  <c r="N78" i="21"/>
  <c r="O77" i="21"/>
  <c r="N77" i="21"/>
  <c r="D75" i="21"/>
  <c r="L75" i="21"/>
  <c r="J75" i="21"/>
  <c r="M75" i="21"/>
  <c r="G75" i="21"/>
  <c r="F75" i="21"/>
  <c r="O74" i="21"/>
  <c r="N74" i="21"/>
  <c r="M72" i="21"/>
  <c r="G72" i="21"/>
  <c r="O73" i="21"/>
  <c r="N73" i="21"/>
  <c r="K72" i="21"/>
  <c r="O72" i="21" s="1"/>
  <c r="J72" i="21"/>
  <c r="N72" i="21" s="1"/>
  <c r="I72" i="21"/>
  <c r="H72" i="21"/>
  <c r="E72" i="21"/>
  <c r="D72" i="21"/>
  <c r="C72" i="21"/>
  <c r="L72" i="21"/>
  <c r="F72" i="21"/>
  <c r="O71" i="21"/>
  <c r="N71" i="21"/>
  <c r="D68" i="21"/>
  <c r="O70" i="21"/>
  <c r="N70" i="21"/>
  <c r="O69" i="21"/>
  <c r="I68" i="21"/>
  <c r="G68" i="21"/>
  <c r="C68" i="21"/>
  <c r="M68" i="21"/>
  <c r="H68" i="21"/>
  <c r="N67" i="21"/>
  <c r="K66" i="21"/>
  <c r="I66" i="21"/>
  <c r="H66" i="21"/>
  <c r="G66" i="21"/>
  <c r="F66" i="21"/>
  <c r="M66" i="21"/>
  <c r="L66" i="21"/>
  <c r="J66" i="21"/>
  <c r="E66" i="21"/>
  <c r="D66" i="21"/>
  <c r="C66" i="21"/>
  <c r="O63" i="21"/>
  <c r="N63" i="21"/>
  <c r="O62" i="21"/>
  <c r="N62" i="21"/>
  <c r="M61" i="21"/>
  <c r="M60" i="21" s="1"/>
  <c r="M59" i="21" s="1"/>
  <c r="L61" i="21"/>
  <c r="L60" i="21" s="1"/>
  <c r="L59" i="21" s="1"/>
  <c r="K61" i="21"/>
  <c r="J61" i="21"/>
  <c r="J60" i="21" s="1"/>
  <c r="H61" i="21"/>
  <c r="H60" i="21" s="1"/>
  <c r="H59" i="21" s="1"/>
  <c r="G61" i="21"/>
  <c r="G60" i="21" s="1"/>
  <c r="G59" i="21" s="1"/>
  <c r="E61" i="21"/>
  <c r="D61" i="21"/>
  <c r="D60" i="21" s="1"/>
  <c r="D59" i="21" s="1"/>
  <c r="C61" i="21"/>
  <c r="K60" i="21"/>
  <c r="K59" i="21" s="1"/>
  <c r="E60" i="21"/>
  <c r="E59" i="21" s="1"/>
  <c r="O58" i="21"/>
  <c r="N57" i="21"/>
  <c r="O57" i="21"/>
  <c r="O56" i="21"/>
  <c r="J54" i="21"/>
  <c r="H54" i="21"/>
  <c r="G54" i="21"/>
  <c r="E54" i="21"/>
  <c r="D54" i="21"/>
  <c r="O55" i="21"/>
  <c r="M54" i="21"/>
  <c r="L54" i="21"/>
  <c r="K54" i="21"/>
  <c r="O53" i="21"/>
  <c r="O52" i="21"/>
  <c r="N51" i="21"/>
  <c r="C48" i="21"/>
  <c r="O49" i="21"/>
  <c r="N49" i="21"/>
  <c r="H48" i="21"/>
  <c r="O47" i="21"/>
  <c r="C44" i="21"/>
  <c r="O46" i="21"/>
  <c r="M44" i="21"/>
  <c r="L44" i="21"/>
  <c r="G44" i="21"/>
  <c r="E44" i="21"/>
  <c r="O42" i="21"/>
  <c r="N42" i="21"/>
  <c r="O41" i="21"/>
  <c r="L40" i="21"/>
  <c r="L39" i="21" s="1"/>
  <c r="K40" i="21"/>
  <c r="K39" i="21" s="1"/>
  <c r="N41" i="21"/>
  <c r="C40" i="21"/>
  <c r="M40" i="21"/>
  <c r="M39" i="21" s="1"/>
  <c r="G40" i="21"/>
  <c r="G39" i="21" s="1"/>
  <c r="E40" i="21"/>
  <c r="E39" i="21" s="1"/>
  <c r="D40" i="21"/>
  <c r="D39" i="21" s="1"/>
  <c r="O36" i="21"/>
  <c r="N36" i="21"/>
  <c r="O35" i="21"/>
  <c r="N35" i="21"/>
  <c r="O34" i="21"/>
  <c r="N34" i="21"/>
  <c r="O33" i="21"/>
  <c r="N33" i="21"/>
  <c r="O32" i="21"/>
  <c r="L30" i="21"/>
  <c r="O29" i="21"/>
  <c r="N29" i="21"/>
  <c r="O28" i="21"/>
  <c r="N28" i="21"/>
  <c r="O27" i="21"/>
  <c r="O26" i="21"/>
  <c r="N26" i="21"/>
  <c r="N25" i="21"/>
  <c r="O24" i="21"/>
  <c r="O23" i="21"/>
  <c r="N23" i="21"/>
  <c r="O22" i="21"/>
  <c r="N22" i="21"/>
  <c r="L20" i="21"/>
  <c r="O21" i="21"/>
  <c r="N21" i="21"/>
  <c r="O19" i="21"/>
  <c r="O17" i="21"/>
  <c r="N17" i="21"/>
  <c r="O16" i="21"/>
  <c r="N16" i="21"/>
  <c r="O15" i="21"/>
  <c r="O14" i="21"/>
  <c r="O13" i="21"/>
  <c r="N13" i="21"/>
  <c r="O12" i="21"/>
  <c r="O11" i="21"/>
  <c r="N11" i="21"/>
  <c r="O10" i="21"/>
  <c r="N10" i="21"/>
  <c r="O48" i="22" l="1"/>
  <c r="N43" i="23"/>
  <c r="R5" i="24"/>
  <c r="K86" i="24"/>
  <c r="R86" i="24" s="1"/>
  <c r="N75" i="21"/>
  <c r="O9" i="22"/>
  <c r="N65" i="22"/>
  <c r="Q5" i="24"/>
  <c r="F61" i="21"/>
  <c r="N9" i="22"/>
  <c r="P86" i="24"/>
  <c r="Z63" i="18"/>
  <c r="AA63" i="18"/>
  <c r="F38" i="23"/>
  <c r="N38" i="23" s="1"/>
  <c r="O43" i="23"/>
  <c r="N7" i="23"/>
  <c r="Q59" i="18"/>
  <c r="Q63" i="18"/>
  <c r="F86" i="24"/>
  <c r="O5" i="24"/>
  <c r="N5" i="24"/>
  <c r="G86" i="22"/>
  <c r="L86" i="22"/>
  <c r="D86" i="22"/>
  <c r="N48" i="22"/>
  <c r="O59" i="23"/>
  <c r="N59" i="23"/>
  <c r="K5" i="23"/>
  <c r="F6" i="23"/>
  <c r="I7" i="23"/>
  <c r="I6" i="23" s="1"/>
  <c r="I5" i="23" s="1"/>
  <c r="I86" i="23" s="1"/>
  <c r="J5" i="23"/>
  <c r="C38" i="22"/>
  <c r="C7" i="22"/>
  <c r="F7" i="22" s="1"/>
  <c r="C60" i="21"/>
  <c r="I8" i="22"/>
  <c r="N8" i="22"/>
  <c r="O8" i="22"/>
  <c r="K7" i="22"/>
  <c r="N43" i="22"/>
  <c r="J38" i="22"/>
  <c r="O43" i="22"/>
  <c r="K38" i="22"/>
  <c r="I39" i="22"/>
  <c r="I38" i="22" s="1"/>
  <c r="F38" i="22"/>
  <c r="N39" i="22"/>
  <c r="O39" i="22"/>
  <c r="G65" i="21"/>
  <c r="K20" i="21"/>
  <c r="N50" i="21"/>
  <c r="C54" i="21"/>
  <c r="O67" i="21"/>
  <c r="O85" i="21"/>
  <c r="M9" i="21"/>
  <c r="M8" i="21" s="1"/>
  <c r="L9" i="21"/>
  <c r="L8" i="21" s="1"/>
  <c r="L7" i="21" s="1"/>
  <c r="L6" i="21" s="1"/>
  <c r="C9" i="21"/>
  <c r="C8" i="21" s="1"/>
  <c r="J20" i="21"/>
  <c r="M20" i="21"/>
  <c r="M30" i="21"/>
  <c r="J40" i="21"/>
  <c r="J39" i="21" s="1"/>
  <c r="H44" i="21"/>
  <c r="H43" i="21" s="1"/>
  <c r="N47" i="21"/>
  <c r="N53" i="21"/>
  <c r="C20" i="21"/>
  <c r="C30" i="21"/>
  <c r="N46" i="21"/>
  <c r="J48" i="21"/>
  <c r="L68" i="21"/>
  <c r="C75" i="21"/>
  <c r="C65" i="21" s="1"/>
  <c r="I80" i="21"/>
  <c r="N82" i="21"/>
  <c r="D9" i="21"/>
  <c r="D8" i="21" s="1"/>
  <c r="D20" i="21"/>
  <c r="F20" i="21" s="1"/>
  <c r="I20" i="21" s="1"/>
  <c r="N45" i="21"/>
  <c r="O82" i="21"/>
  <c r="K48" i="21"/>
  <c r="D65" i="21"/>
  <c r="O81" i="21"/>
  <c r="M65" i="21"/>
  <c r="O45" i="21"/>
  <c r="N19" i="21"/>
  <c r="E20" i="21"/>
  <c r="L80" i="21"/>
  <c r="L65" i="21" s="1"/>
  <c r="N18" i="21"/>
  <c r="G20" i="21"/>
  <c r="L48" i="21"/>
  <c r="L43" i="21" s="1"/>
  <c r="L38" i="21" s="1"/>
  <c r="E75" i="21"/>
  <c r="I83" i="21"/>
  <c r="H9" i="21"/>
  <c r="H8" i="21" s="1"/>
  <c r="G9" i="21"/>
  <c r="G8" i="21" s="1"/>
  <c r="N12" i="21"/>
  <c r="H20" i="21"/>
  <c r="N24" i="21"/>
  <c r="N31" i="21"/>
  <c r="H30" i="21"/>
  <c r="G30" i="21"/>
  <c r="N76" i="21"/>
  <c r="H75" i="21"/>
  <c r="H65" i="21" s="1"/>
  <c r="N84" i="21"/>
  <c r="D30" i="21"/>
  <c r="E9" i="21"/>
  <c r="E8" i="21" s="1"/>
  <c r="E30" i="21"/>
  <c r="M48" i="21"/>
  <c r="M43" i="21" s="1"/>
  <c r="M38" i="21" s="1"/>
  <c r="E68" i="21"/>
  <c r="N15" i="21"/>
  <c r="N27" i="21"/>
  <c r="D44" i="21"/>
  <c r="F68" i="21"/>
  <c r="F65" i="21" s="1"/>
  <c r="I75" i="21"/>
  <c r="D80" i="21"/>
  <c r="J9" i="21"/>
  <c r="J8" i="21" s="1"/>
  <c r="H40" i="21"/>
  <c r="H39" i="21" s="1"/>
  <c r="D48" i="21"/>
  <c r="N66" i="21"/>
  <c r="J30" i="21"/>
  <c r="E48" i="21"/>
  <c r="K9" i="21"/>
  <c r="K8" i="21" s="1"/>
  <c r="N80" i="21"/>
  <c r="K30" i="21"/>
  <c r="G48" i="21"/>
  <c r="G43" i="21" s="1"/>
  <c r="G38" i="21" s="1"/>
  <c r="K75" i="21"/>
  <c r="O75" i="21" s="1"/>
  <c r="I61" i="21"/>
  <c r="N61" i="21"/>
  <c r="O61" i="21"/>
  <c r="C43" i="21"/>
  <c r="J59" i="21"/>
  <c r="F40" i="21"/>
  <c r="C39" i="21"/>
  <c r="O66" i="21"/>
  <c r="N83" i="21"/>
  <c r="O83" i="21"/>
  <c r="O31" i="21"/>
  <c r="N32" i="21"/>
  <c r="J44" i="21"/>
  <c r="O51" i="21"/>
  <c r="N52" i="21"/>
  <c r="N58" i="21"/>
  <c r="O64" i="21"/>
  <c r="K68" i="21"/>
  <c r="O76" i="21"/>
  <c r="K80" i="21"/>
  <c r="O80" i="21" s="1"/>
  <c r="O18" i="21"/>
  <c r="O50" i="21"/>
  <c r="N64" i="21"/>
  <c r="J68" i="21"/>
  <c r="K44" i="21"/>
  <c r="N69" i="21"/>
  <c r="N81" i="21"/>
  <c r="I54" i="21"/>
  <c r="N14" i="21"/>
  <c r="O25" i="21"/>
  <c r="F54" i="21"/>
  <c r="O54" i="21" s="1"/>
  <c r="N55" i="21"/>
  <c r="N56" i="21"/>
  <c r="Q86" i="24" l="1"/>
  <c r="F48" i="21"/>
  <c r="O86" i="24"/>
  <c r="G7" i="21"/>
  <c r="G6" i="21" s="1"/>
  <c r="G5" i="21" s="1"/>
  <c r="G86" i="21" s="1"/>
  <c r="E65" i="21"/>
  <c r="F5" i="23"/>
  <c r="F86" i="23" s="1"/>
  <c r="T59" i="18" s="1"/>
  <c r="O38" i="23"/>
  <c r="N86" i="24"/>
  <c r="W59" i="18"/>
  <c r="W63" i="18"/>
  <c r="N6" i="23"/>
  <c r="J86" i="23"/>
  <c r="O6" i="23"/>
  <c r="K86" i="23"/>
  <c r="C6" i="22"/>
  <c r="C5" i="22" s="1"/>
  <c r="C86" i="22" s="1"/>
  <c r="O38" i="22"/>
  <c r="I65" i="21"/>
  <c r="F60" i="21"/>
  <c r="C59" i="21"/>
  <c r="D43" i="21"/>
  <c r="D38" i="21" s="1"/>
  <c r="F30" i="21"/>
  <c r="I30" i="21" s="1"/>
  <c r="D7" i="21"/>
  <c r="D6" i="21" s="1"/>
  <c r="O20" i="21"/>
  <c r="O7" i="22"/>
  <c r="K6" i="22"/>
  <c r="I7" i="22"/>
  <c r="I6" i="22" s="1"/>
  <c r="I5" i="22" s="1"/>
  <c r="I86" i="22" s="1"/>
  <c r="F6" i="22"/>
  <c r="N7" i="22"/>
  <c r="N38" i="22"/>
  <c r="J5" i="22"/>
  <c r="H38" i="21"/>
  <c r="I48" i="21"/>
  <c r="O48" i="21"/>
  <c r="N48" i="21"/>
  <c r="E43" i="21"/>
  <c r="E38" i="21" s="1"/>
  <c r="F9" i="21"/>
  <c r="I9" i="21" s="1"/>
  <c r="F44" i="21"/>
  <c r="I44" i="21" s="1"/>
  <c r="L5" i="21"/>
  <c r="L86" i="21" s="1"/>
  <c r="E7" i="21"/>
  <c r="E6" i="21" s="1"/>
  <c r="H7" i="21"/>
  <c r="H6" i="21" s="1"/>
  <c r="M7" i="21"/>
  <c r="M6" i="21" s="1"/>
  <c r="M5" i="21" s="1"/>
  <c r="M86" i="21" s="1"/>
  <c r="O68" i="21"/>
  <c r="I40" i="21"/>
  <c r="J7" i="21"/>
  <c r="F39" i="21"/>
  <c r="C38" i="21"/>
  <c r="K7" i="21"/>
  <c r="J65" i="21"/>
  <c r="N65" i="21" s="1"/>
  <c r="N68" i="21"/>
  <c r="N54" i="21"/>
  <c r="K65" i="21"/>
  <c r="O65" i="21" s="1"/>
  <c r="N20" i="21"/>
  <c r="K43" i="21"/>
  <c r="J43" i="21"/>
  <c r="N40" i="21"/>
  <c r="F8" i="21"/>
  <c r="I8" i="21" s="1"/>
  <c r="C7" i="21"/>
  <c r="O40" i="21"/>
  <c r="O30" i="21"/>
  <c r="F43" i="21" l="1"/>
  <c r="I43" i="21" s="1"/>
  <c r="E5" i="21"/>
  <c r="E86" i="21" s="1"/>
  <c r="D5" i="21"/>
  <c r="D86" i="21" s="1"/>
  <c r="N5" i="23"/>
  <c r="O5" i="23"/>
  <c r="T63" i="18"/>
  <c r="O86" i="23"/>
  <c r="Y59" i="18"/>
  <c r="Y63" i="18"/>
  <c r="N86" i="23"/>
  <c r="X59" i="18"/>
  <c r="X63" i="18"/>
  <c r="O60" i="21"/>
  <c r="I60" i="21"/>
  <c r="I59" i="21" s="1"/>
  <c r="F59" i="21"/>
  <c r="N60" i="21"/>
  <c r="H5" i="21"/>
  <c r="H86" i="21" s="1"/>
  <c r="N30" i="21"/>
  <c r="N9" i="21"/>
  <c r="J86" i="22"/>
  <c r="F5" i="22"/>
  <c r="F86" i="22" s="1"/>
  <c r="N6" i="22"/>
  <c r="K5" i="22"/>
  <c r="O6" i="22"/>
  <c r="N44" i="21"/>
  <c r="N8" i="21"/>
  <c r="O9" i="21"/>
  <c r="O44" i="21"/>
  <c r="O43" i="21"/>
  <c r="K38" i="21"/>
  <c r="I39" i="21"/>
  <c r="I38" i="21" s="1"/>
  <c r="F38" i="21"/>
  <c r="O39" i="21"/>
  <c r="N39" i="21"/>
  <c r="J6" i="21"/>
  <c r="K6" i="21"/>
  <c r="F7" i="21"/>
  <c r="N7" i="21" s="1"/>
  <c r="C6" i="21"/>
  <c r="C5" i="21" s="1"/>
  <c r="C86" i="21" s="1"/>
  <c r="O8" i="21"/>
  <c r="N43" i="21"/>
  <c r="J38" i="21"/>
  <c r="O85" i="20"/>
  <c r="L83" i="20"/>
  <c r="I83" i="20"/>
  <c r="H83" i="20"/>
  <c r="F80" i="20"/>
  <c r="I80" i="20"/>
  <c r="H80" i="20"/>
  <c r="G80" i="20"/>
  <c r="L80" i="20"/>
  <c r="O79" i="20"/>
  <c r="N79" i="20"/>
  <c r="O76" i="20"/>
  <c r="H75" i="20"/>
  <c r="G75" i="20"/>
  <c r="I72" i="20"/>
  <c r="E72" i="20"/>
  <c r="D72" i="20"/>
  <c r="H68" i="20"/>
  <c r="C68" i="20"/>
  <c r="M66" i="20"/>
  <c r="I66" i="20"/>
  <c r="H66" i="20"/>
  <c r="G66" i="20"/>
  <c r="F66" i="20"/>
  <c r="E66" i="20"/>
  <c r="D66" i="20"/>
  <c r="C66" i="20"/>
  <c r="L66" i="20"/>
  <c r="O63" i="20"/>
  <c r="N63" i="20"/>
  <c r="O62" i="20"/>
  <c r="N62" i="20"/>
  <c r="M61" i="20"/>
  <c r="M60" i="20" s="1"/>
  <c r="M59" i="20" s="1"/>
  <c r="L61" i="20"/>
  <c r="L60" i="20" s="1"/>
  <c r="L59" i="20" s="1"/>
  <c r="K61" i="20"/>
  <c r="J61" i="20"/>
  <c r="H61" i="20"/>
  <c r="H60" i="20" s="1"/>
  <c r="H59" i="20" s="1"/>
  <c r="G61" i="20"/>
  <c r="E61" i="20"/>
  <c r="E60" i="20" s="1"/>
  <c r="E59" i="20" s="1"/>
  <c r="D61" i="20"/>
  <c r="D60" i="20" s="1"/>
  <c r="D59" i="20" s="1"/>
  <c r="C61" i="20"/>
  <c r="F61" i="20" s="1"/>
  <c r="K60" i="20"/>
  <c r="K59" i="20" s="1"/>
  <c r="G60" i="20"/>
  <c r="G59" i="20" s="1"/>
  <c r="O58" i="20"/>
  <c r="M54" i="20"/>
  <c r="O55" i="20"/>
  <c r="G48" i="20"/>
  <c r="O51" i="20"/>
  <c r="N50" i="20"/>
  <c r="O49" i="20"/>
  <c r="O47" i="20"/>
  <c r="K44" i="20"/>
  <c r="N46" i="20"/>
  <c r="O45" i="20"/>
  <c r="N45" i="20"/>
  <c r="H44" i="20"/>
  <c r="D40" i="20"/>
  <c r="D39" i="20" s="1"/>
  <c r="H40" i="20"/>
  <c r="H39" i="20" s="1"/>
  <c r="E40" i="20"/>
  <c r="E39" i="20" s="1"/>
  <c r="N36" i="20"/>
  <c r="O36" i="20"/>
  <c r="L20" i="20"/>
  <c r="O11" i="20"/>
  <c r="N61" i="20" l="1"/>
  <c r="O59" i="21"/>
  <c r="N59" i="21"/>
  <c r="O5" i="22"/>
  <c r="K86" i="22"/>
  <c r="N5" i="22"/>
  <c r="N86" i="22"/>
  <c r="O7" i="21"/>
  <c r="O38" i="21"/>
  <c r="N38" i="21"/>
  <c r="J60" i="20"/>
  <c r="J59" i="20" s="1"/>
  <c r="I7" i="21"/>
  <c r="I6" i="21" s="1"/>
  <c r="I5" i="21" s="1"/>
  <c r="I86" i="21" s="1"/>
  <c r="F6" i="21"/>
  <c r="F5" i="21" s="1"/>
  <c r="F86" i="21" s="1"/>
  <c r="K5" i="21"/>
  <c r="J5" i="21"/>
  <c r="L40" i="20"/>
  <c r="L39" i="20" s="1"/>
  <c r="D48" i="20"/>
  <c r="I68" i="20"/>
  <c r="O78" i="20"/>
  <c r="N29" i="20"/>
  <c r="O31" i="20"/>
  <c r="M30" i="20"/>
  <c r="O29" i="20"/>
  <c r="N57" i="20"/>
  <c r="N28" i="20"/>
  <c r="O53" i="20"/>
  <c r="O15" i="20"/>
  <c r="O23" i="20"/>
  <c r="C40" i="20"/>
  <c r="F40" i="20" s="1"/>
  <c r="N47" i="20"/>
  <c r="J54" i="20"/>
  <c r="O57" i="20"/>
  <c r="L68" i="20"/>
  <c r="C80" i="20"/>
  <c r="G44" i="20"/>
  <c r="G43" i="20" s="1"/>
  <c r="N51" i="20"/>
  <c r="O52" i="20"/>
  <c r="O56" i="20"/>
  <c r="L54" i="20"/>
  <c r="K9" i="20"/>
  <c r="K8" i="20" s="1"/>
  <c r="G40" i="20"/>
  <c r="G39" i="20" s="1"/>
  <c r="N49" i="20"/>
  <c r="O50" i="20"/>
  <c r="J40" i="20"/>
  <c r="J39" i="20" s="1"/>
  <c r="C48" i="20"/>
  <c r="E68" i="20"/>
  <c r="N78" i="20"/>
  <c r="O25" i="20"/>
  <c r="O67" i="20"/>
  <c r="O70" i="20"/>
  <c r="O73" i="20"/>
  <c r="O10" i="20"/>
  <c r="O24" i="20"/>
  <c r="D30" i="20"/>
  <c r="C54" i="20"/>
  <c r="O69" i="20"/>
  <c r="C83" i="20"/>
  <c r="N69" i="20"/>
  <c r="O16" i="20"/>
  <c r="E30" i="20"/>
  <c r="E44" i="20"/>
  <c r="K66" i="20"/>
  <c r="O66" i="20" s="1"/>
  <c r="M72" i="20"/>
  <c r="E75" i="20"/>
  <c r="G72" i="20"/>
  <c r="M9" i="20"/>
  <c r="M8" i="20" s="1"/>
  <c r="N10" i="20"/>
  <c r="J9" i="20"/>
  <c r="J8" i="20" s="1"/>
  <c r="O14" i="20"/>
  <c r="N18" i="20"/>
  <c r="O19" i="20"/>
  <c r="G30" i="20"/>
  <c r="N35" i="20"/>
  <c r="C72" i="20"/>
  <c r="E83" i="20"/>
  <c r="N24" i="20"/>
  <c r="N32" i="20"/>
  <c r="E9" i="20"/>
  <c r="E8" i="20" s="1"/>
  <c r="N17" i="20"/>
  <c r="O18" i="20"/>
  <c r="O35" i="20"/>
  <c r="H48" i="20"/>
  <c r="H43" i="20" s="1"/>
  <c r="H38" i="20" s="1"/>
  <c r="F75" i="20"/>
  <c r="N81" i="20"/>
  <c r="G83" i="20"/>
  <c r="N15" i="20"/>
  <c r="O46" i="20"/>
  <c r="O17" i="20"/>
  <c r="N33" i="20"/>
  <c r="O34" i="20"/>
  <c r="H72" i="20"/>
  <c r="L30" i="20"/>
  <c r="N12" i="20"/>
  <c r="K20" i="20"/>
  <c r="J75" i="20"/>
  <c r="N11" i="20"/>
  <c r="N25" i="20"/>
  <c r="M44" i="20"/>
  <c r="N67" i="20"/>
  <c r="N70" i="20"/>
  <c r="N73" i="20"/>
  <c r="M83" i="20"/>
  <c r="H65" i="20"/>
  <c r="N16" i="20"/>
  <c r="G20" i="20"/>
  <c r="N26" i="20"/>
  <c r="O27" i="20"/>
  <c r="N34" i="20"/>
  <c r="D83" i="20"/>
  <c r="E80" i="20"/>
  <c r="J30" i="20"/>
  <c r="D44" i="20"/>
  <c r="D43" i="20" s="1"/>
  <c r="D38" i="20" s="1"/>
  <c r="M68" i="20"/>
  <c r="I75" i="20"/>
  <c r="M48" i="20"/>
  <c r="H9" i="20"/>
  <c r="H8" i="20" s="1"/>
  <c r="N14" i="20"/>
  <c r="N19" i="20"/>
  <c r="H20" i="20"/>
  <c r="N23" i="20"/>
  <c r="O28" i="20"/>
  <c r="O33" i="20"/>
  <c r="K54" i="20"/>
  <c r="L72" i="20"/>
  <c r="N84" i="20"/>
  <c r="D9" i="20"/>
  <c r="D8" i="20" s="1"/>
  <c r="N13" i="20"/>
  <c r="N22" i="20"/>
  <c r="C20" i="20"/>
  <c r="K30" i="20"/>
  <c r="E48" i="20"/>
  <c r="L75" i="20"/>
  <c r="K75" i="20"/>
  <c r="M75" i="20"/>
  <c r="N82" i="20"/>
  <c r="O12" i="20"/>
  <c r="O13" i="20"/>
  <c r="J20" i="20"/>
  <c r="O22" i="20"/>
  <c r="D68" i="20"/>
  <c r="K72" i="20"/>
  <c r="O81" i="20"/>
  <c r="O82" i="20"/>
  <c r="E20" i="20"/>
  <c r="O21" i="20"/>
  <c r="N31" i="20"/>
  <c r="N42" i="20"/>
  <c r="O71" i="20"/>
  <c r="N76" i="20"/>
  <c r="N85" i="20"/>
  <c r="G9" i="20"/>
  <c r="G8" i="20" s="1"/>
  <c r="L9" i="20"/>
  <c r="L8" i="20" s="1"/>
  <c r="M20" i="20"/>
  <c r="O42" i="20"/>
  <c r="N52" i="20"/>
  <c r="F68" i="20"/>
  <c r="M80" i="20"/>
  <c r="N27" i="20"/>
  <c r="C30" i="20"/>
  <c r="O41" i="20"/>
  <c r="D54" i="20"/>
  <c r="G68" i="20"/>
  <c r="G65" i="20" s="1"/>
  <c r="D75" i="20"/>
  <c r="C75" i="20"/>
  <c r="O84" i="20"/>
  <c r="O26" i="20"/>
  <c r="M40" i="20"/>
  <c r="M39" i="20" s="1"/>
  <c r="L44" i="20"/>
  <c r="E54" i="20"/>
  <c r="O74" i="20"/>
  <c r="F83" i="20"/>
  <c r="C44" i="20"/>
  <c r="H54" i="20"/>
  <c r="C9" i="20"/>
  <c r="F9" i="20" s="1"/>
  <c r="D20" i="20"/>
  <c r="H30" i="20"/>
  <c r="K40" i="20"/>
  <c r="K39" i="20" s="1"/>
  <c r="L48" i="20"/>
  <c r="K48" i="20"/>
  <c r="J48" i="20"/>
  <c r="N56" i="20"/>
  <c r="G54" i="20"/>
  <c r="J66" i="20"/>
  <c r="N71" i="20"/>
  <c r="D80" i="20"/>
  <c r="N75" i="20"/>
  <c r="I61" i="20"/>
  <c r="O61" i="20"/>
  <c r="N64" i="20"/>
  <c r="J68" i="20"/>
  <c r="F72" i="20"/>
  <c r="O72" i="20" s="1"/>
  <c r="J80" i="20"/>
  <c r="N80" i="20" s="1"/>
  <c r="J44" i="20"/>
  <c r="N58" i="20"/>
  <c r="O64" i="20"/>
  <c r="K68" i="20"/>
  <c r="N77" i="20"/>
  <c r="K80" i="20"/>
  <c r="O80" i="20" s="1"/>
  <c r="N53" i="20"/>
  <c r="N66" i="20"/>
  <c r="O77" i="20"/>
  <c r="O32" i="20"/>
  <c r="N41" i="20"/>
  <c r="J83" i="20"/>
  <c r="C60" i="20"/>
  <c r="J72" i="20"/>
  <c r="K83" i="20"/>
  <c r="I54" i="20"/>
  <c r="F54" i="20"/>
  <c r="N54" i="20" s="1"/>
  <c r="N55" i="20"/>
  <c r="N21" i="20"/>
  <c r="N74" i="20"/>
  <c r="K83" i="19"/>
  <c r="H83" i="19"/>
  <c r="F83" i="19"/>
  <c r="N81" i="19"/>
  <c r="H80" i="19"/>
  <c r="G80" i="19"/>
  <c r="E80" i="19"/>
  <c r="C80" i="19"/>
  <c r="N77" i="19"/>
  <c r="M75" i="19"/>
  <c r="H75" i="19"/>
  <c r="G75" i="19"/>
  <c r="M72" i="19"/>
  <c r="K72" i="19"/>
  <c r="D72" i="19"/>
  <c r="C72" i="19"/>
  <c r="J72" i="19"/>
  <c r="M66" i="19"/>
  <c r="L66" i="19"/>
  <c r="O67" i="19"/>
  <c r="J66" i="19"/>
  <c r="I66" i="19"/>
  <c r="H66" i="19"/>
  <c r="G66" i="19"/>
  <c r="F66" i="19"/>
  <c r="E66" i="19"/>
  <c r="D66" i="19"/>
  <c r="C66" i="19"/>
  <c r="O64" i="19"/>
  <c r="O63" i="19"/>
  <c r="N63" i="19"/>
  <c r="O62" i="19"/>
  <c r="N62" i="19"/>
  <c r="M61" i="19"/>
  <c r="M60" i="19" s="1"/>
  <c r="M59" i="19" s="1"/>
  <c r="L61" i="19"/>
  <c r="L60" i="19" s="1"/>
  <c r="L59" i="19" s="1"/>
  <c r="K61" i="19"/>
  <c r="K60" i="19" s="1"/>
  <c r="K59" i="19" s="1"/>
  <c r="J61" i="19"/>
  <c r="J60" i="19" s="1"/>
  <c r="J59" i="19" s="1"/>
  <c r="H61" i="19"/>
  <c r="H60" i="19" s="1"/>
  <c r="H59" i="19" s="1"/>
  <c r="G61" i="19"/>
  <c r="G60" i="19" s="1"/>
  <c r="G59" i="19" s="1"/>
  <c r="E61" i="19"/>
  <c r="E60" i="19" s="1"/>
  <c r="E59" i="19" s="1"/>
  <c r="D61" i="19"/>
  <c r="D60" i="19" s="1"/>
  <c r="D59" i="19" s="1"/>
  <c r="C61" i="19"/>
  <c r="C60" i="19"/>
  <c r="O58" i="19"/>
  <c r="O57" i="19"/>
  <c r="C54" i="19"/>
  <c r="F55" i="19"/>
  <c r="O55" i="19" s="1"/>
  <c r="J54" i="19"/>
  <c r="N50" i="19"/>
  <c r="M44" i="19"/>
  <c r="H44" i="19"/>
  <c r="G44" i="19"/>
  <c r="M40" i="19"/>
  <c r="M39" i="19" s="1"/>
  <c r="H40" i="19"/>
  <c r="H39" i="19" s="1"/>
  <c r="E40" i="19"/>
  <c r="E39" i="19" s="1"/>
  <c r="D40" i="19"/>
  <c r="D39" i="19" s="1"/>
  <c r="N36" i="19"/>
  <c r="O36" i="19"/>
  <c r="N35" i="19"/>
  <c r="O34" i="19"/>
  <c r="O28" i="19"/>
  <c r="N28" i="19"/>
  <c r="O27" i="19"/>
  <c r="N27" i="19"/>
  <c r="N26" i="19"/>
  <c r="O15" i="19"/>
  <c r="N15" i="19"/>
  <c r="O14" i="19"/>
  <c r="N14" i="19"/>
  <c r="N13" i="19"/>
  <c r="O86" i="22" l="1"/>
  <c r="C65" i="20"/>
  <c r="I65" i="20"/>
  <c r="O75" i="20"/>
  <c r="E65" i="20"/>
  <c r="E43" i="20"/>
  <c r="E38" i="20" s="1"/>
  <c r="F44" i="20"/>
  <c r="I44" i="20" s="1"/>
  <c r="F30" i="20"/>
  <c r="O30" i="20" s="1"/>
  <c r="G7" i="20"/>
  <c r="G6" i="20" s="1"/>
  <c r="M7" i="20"/>
  <c r="M6" i="20" s="1"/>
  <c r="D7" i="20"/>
  <c r="D6" i="20" s="1"/>
  <c r="D5" i="20" s="1"/>
  <c r="I9" i="20"/>
  <c r="N5" i="21"/>
  <c r="J86" i="21"/>
  <c r="N6" i="21"/>
  <c r="O6" i="21"/>
  <c r="O5" i="21"/>
  <c r="K86" i="21"/>
  <c r="N40" i="20"/>
  <c r="J7" i="20"/>
  <c r="J6" i="20" s="1"/>
  <c r="M65" i="20"/>
  <c r="M43" i="20"/>
  <c r="C39" i="20"/>
  <c r="F39" i="20" s="1"/>
  <c r="N39" i="20" s="1"/>
  <c r="G38" i="20"/>
  <c r="G5" i="20" s="1"/>
  <c r="G86" i="20" s="1"/>
  <c r="E7" i="20"/>
  <c r="E6" i="20" s="1"/>
  <c r="C8" i="20"/>
  <c r="F8" i="20" s="1"/>
  <c r="F48" i="20"/>
  <c r="O48" i="20" s="1"/>
  <c r="K7" i="20"/>
  <c r="K6" i="20" s="1"/>
  <c r="N68" i="20"/>
  <c r="F20" i="20"/>
  <c r="I20" i="20" s="1"/>
  <c r="D65" i="20"/>
  <c r="I40" i="20"/>
  <c r="O40" i="20"/>
  <c r="N30" i="20"/>
  <c r="C43" i="20"/>
  <c r="L65" i="20"/>
  <c r="M38" i="20"/>
  <c r="M5" i="20" s="1"/>
  <c r="K43" i="20"/>
  <c r="K38" i="20" s="1"/>
  <c r="L7" i="20"/>
  <c r="L6" i="20" s="1"/>
  <c r="F61" i="19"/>
  <c r="O61" i="19" s="1"/>
  <c r="F60" i="19"/>
  <c r="I60" i="19" s="1"/>
  <c r="I59" i="19" s="1"/>
  <c r="N48" i="20"/>
  <c r="G30" i="19"/>
  <c r="N33" i="19"/>
  <c r="G83" i="19"/>
  <c r="O83" i="20"/>
  <c r="N18" i="19"/>
  <c r="O19" i="19"/>
  <c r="O46" i="19"/>
  <c r="O79" i="19"/>
  <c r="O18" i="19"/>
  <c r="J30" i="19"/>
  <c r="N17" i="19"/>
  <c r="N16" i="19"/>
  <c r="O17" i="19"/>
  <c r="N29" i="19"/>
  <c r="J40" i="19"/>
  <c r="J39" i="19" s="1"/>
  <c r="I80" i="19"/>
  <c r="O85" i="19"/>
  <c r="N83" i="20"/>
  <c r="O29" i="19"/>
  <c r="O73" i="19"/>
  <c r="O16" i="19"/>
  <c r="L40" i="19"/>
  <c r="L39" i="19" s="1"/>
  <c r="G54" i="19"/>
  <c r="G72" i="19"/>
  <c r="L83" i="19"/>
  <c r="H7" i="20"/>
  <c r="H6" i="20" s="1"/>
  <c r="H5" i="20" s="1"/>
  <c r="H86" i="20" s="1"/>
  <c r="O26" i="19"/>
  <c r="M80" i="19"/>
  <c r="L43" i="20"/>
  <c r="L38" i="20" s="1"/>
  <c r="D83" i="19"/>
  <c r="L54" i="19"/>
  <c r="O54" i="20"/>
  <c r="F65" i="20"/>
  <c r="N9" i="20"/>
  <c r="O44" i="20"/>
  <c r="J65" i="20"/>
  <c r="O9" i="20"/>
  <c r="N72" i="20"/>
  <c r="K65" i="20"/>
  <c r="O68" i="20"/>
  <c r="F60" i="20"/>
  <c r="C59" i="20"/>
  <c r="N44" i="20"/>
  <c r="J43" i="20"/>
  <c r="J38" i="20" s="1"/>
  <c r="M48" i="19"/>
  <c r="M43" i="19" s="1"/>
  <c r="M38" i="19" s="1"/>
  <c r="M68" i="19"/>
  <c r="K40" i="19"/>
  <c r="K39" i="19" s="1"/>
  <c r="C68" i="19"/>
  <c r="N12" i="19"/>
  <c r="N25" i="19"/>
  <c r="L44" i="19"/>
  <c r="E72" i="19"/>
  <c r="N11" i="19"/>
  <c r="N24" i="19"/>
  <c r="D48" i="19"/>
  <c r="N52" i="19"/>
  <c r="E68" i="19"/>
  <c r="F68" i="19"/>
  <c r="N10" i="19"/>
  <c r="O11" i="19"/>
  <c r="H20" i="19"/>
  <c r="N23" i="19"/>
  <c r="O10" i="19"/>
  <c r="N22" i="19"/>
  <c r="O23" i="19"/>
  <c r="O49" i="19"/>
  <c r="N78" i="19"/>
  <c r="N85" i="19"/>
  <c r="O22" i="19"/>
  <c r="N34" i="19"/>
  <c r="J48" i="19"/>
  <c r="I72" i="19"/>
  <c r="O78" i="19"/>
  <c r="N84" i="19"/>
  <c r="O35" i="19"/>
  <c r="O42" i="19"/>
  <c r="N46" i="19"/>
  <c r="I68" i="19"/>
  <c r="J75" i="19"/>
  <c r="O84" i="19"/>
  <c r="L20" i="19"/>
  <c r="O33" i="19"/>
  <c r="O45" i="19"/>
  <c r="N69" i="19"/>
  <c r="M83" i="19"/>
  <c r="K30" i="19"/>
  <c r="K48" i="19"/>
  <c r="L75" i="19"/>
  <c r="D44" i="19"/>
  <c r="D54" i="19"/>
  <c r="G68" i="19"/>
  <c r="F72" i="19"/>
  <c r="N72" i="19" s="1"/>
  <c r="D80" i="19"/>
  <c r="O83" i="19"/>
  <c r="O12" i="19"/>
  <c r="O13" i="19"/>
  <c r="O21" i="19"/>
  <c r="O24" i="19"/>
  <c r="O25" i="19"/>
  <c r="L30" i="19"/>
  <c r="C30" i="19"/>
  <c r="G40" i="19"/>
  <c r="G39" i="19" s="1"/>
  <c r="O51" i="19"/>
  <c r="E54" i="19"/>
  <c r="H68" i="19"/>
  <c r="D75" i="19"/>
  <c r="E75" i="19"/>
  <c r="C83" i="19"/>
  <c r="L9" i="19"/>
  <c r="L8" i="19" s="1"/>
  <c r="M30" i="19"/>
  <c r="H48" i="19"/>
  <c r="H43" i="19" s="1"/>
  <c r="H38" i="19" s="1"/>
  <c r="G48" i="19"/>
  <c r="G43" i="19" s="1"/>
  <c r="N71" i="19"/>
  <c r="H72" i="19"/>
  <c r="F80" i="19"/>
  <c r="E44" i="19"/>
  <c r="K9" i="19"/>
  <c r="K8" i="19" s="1"/>
  <c r="K20" i="19"/>
  <c r="N70" i="19"/>
  <c r="O71" i="19"/>
  <c r="F75" i="19"/>
  <c r="J9" i="19"/>
  <c r="J8" i="19" s="1"/>
  <c r="M20" i="19"/>
  <c r="C9" i="19"/>
  <c r="D9" i="19"/>
  <c r="D8" i="19" s="1"/>
  <c r="C20" i="19"/>
  <c r="N42" i="19"/>
  <c r="N47" i="19"/>
  <c r="O53" i="19"/>
  <c r="H54" i="19"/>
  <c r="K66" i="19"/>
  <c r="O66" i="19" s="1"/>
  <c r="O69" i="19"/>
  <c r="O70" i="19"/>
  <c r="N73" i="19"/>
  <c r="N79" i="19"/>
  <c r="E83" i="19"/>
  <c r="M9" i="19"/>
  <c r="M8" i="19" s="1"/>
  <c r="D30" i="19"/>
  <c r="E30" i="19"/>
  <c r="O47" i="19"/>
  <c r="N51" i="19"/>
  <c r="O52" i="19"/>
  <c r="N57" i="19"/>
  <c r="L68" i="19"/>
  <c r="I75" i="19"/>
  <c r="J20" i="19"/>
  <c r="E9" i="19"/>
  <c r="E8" i="19" s="1"/>
  <c r="D20" i="19"/>
  <c r="E20" i="19"/>
  <c r="N32" i="19"/>
  <c r="H30" i="19"/>
  <c r="N45" i="19"/>
  <c r="L48" i="19"/>
  <c r="N56" i="19"/>
  <c r="L72" i="19"/>
  <c r="N82" i="19"/>
  <c r="N19" i="19"/>
  <c r="O31" i="19"/>
  <c r="O56" i="19"/>
  <c r="K75" i="19"/>
  <c r="O81" i="19"/>
  <c r="O82" i="19"/>
  <c r="I83" i="19"/>
  <c r="G9" i="19"/>
  <c r="G8" i="19" s="1"/>
  <c r="G20" i="19"/>
  <c r="N49" i="19"/>
  <c r="M54" i="19"/>
  <c r="N74" i="19"/>
  <c r="L80" i="19"/>
  <c r="H9" i="19"/>
  <c r="H8" i="19" s="1"/>
  <c r="C40" i="19"/>
  <c r="F40" i="19" s="1"/>
  <c r="C48" i="19"/>
  <c r="D68" i="19"/>
  <c r="O74" i="19"/>
  <c r="C75" i="19"/>
  <c r="C44" i="19"/>
  <c r="E48" i="19"/>
  <c r="N66" i="19"/>
  <c r="N31" i="19"/>
  <c r="O50" i="19"/>
  <c r="K54" i="19"/>
  <c r="N64" i="19"/>
  <c r="J68" i="19"/>
  <c r="N76" i="19"/>
  <c r="J80" i="19"/>
  <c r="J44" i="19"/>
  <c r="N58" i="19"/>
  <c r="K68" i="19"/>
  <c r="O76" i="19"/>
  <c r="K80" i="19"/>
  <c r="N21" i="19"/>
  <c r="O32" i="19"/>
  <c r="N41" i="19"/>
  <c r="K44" i="19"/>
  <c r="N53" i="19"/>
  <c r="O77" i="19"/>
  <c r="O41" i="19"/>
  <c r="C59" i="19"/>
  <c r="N67" i="19"/>
  <c r="J83" i="19"/>
  <c r="N83" i="19" s="1"/>
  <c r="I55" i="19"/>
  <c r="I54" i="19" s="1"/>
  <c r="F54" i="19"/>
  <c r="N54" i="19" s="1"/>
  <c r="N55" i="19"/>
  <c r="E83" i="17"/>
  <c r="N84" i="17"/>
  <c r="H83" i="17"/>
  <c r="D80" i="17"/>
  <c r="O81" i="17"/>
  <c r="C80" i="17"/>
  <c r="N82" i="17"/>
  <c r="L80" i="17"/>
  <c r="O76" i="17"/>
  <c r="C75" i="17"/>
  <c r="C72" i="17"/>
  <c r="H72" i="17"/>
  <c r="M72" i="17"/>
  <c r="C68" i="17"/>
  <c r="D66" i="17"/>
  <c r="E66" i="17"/>
  <c r="G66" i="17"/>
  <c r="H66" i="17"/>
  <c r="I66" i="17"/>
  <c r="J66" i="17"/>
  <c r="K66" i="17"/>
  <c r="M66" i="17"/>
  <c r="O56" i="17"/>
  <c r="O49" i="17"/>
  <c r="E40" i="17"/>
  <c r="L40" i="17"/>
  <c r="L39" i="17" s="1"/>
  <c r="J40" i="17"/>
  <c r="J39" i="17" s="1"/>
  <c r="N32" i="17"/>
  <c r="O23" i="17"/>
  <c r="N28" i="17"/>
  <c r="O28" i="17"/>
  <c r="N29" i="17"/>
  <c r="O29" i="17"/>
  <c r="O10" i="17"/>
  <c r="O12" i="17"/>
  <c r="O18" i="17"/>
  <c r="L83" i="17"/>
  <c r="D83" i="17"/>
  <c r="G80" i="17"/>
  <c r="O79" i="17"/>
  <c r="L72" i="17"/>
  <c r="L66" i="17"/>
  <c r="C66" i="17"/>
  <c r="O63" i="17"/>
  <c r="N62" i="17"/>
  <c r="O62" i="17"/>
  <c r="M61" i="17"/>
  <c r="M60" i="17" s="1"/>
  <c r="M59" i="17" s="1"/>
  <c r="L61" i="17"/>
  <c r="L60" i="17" s="1"/>
  <c r="L59" i="17" s="1"/>
  <c r="K61" i="17"/>
  <c r="K60" i="17" s="1"/>
  <c r="J61" i="17"/>
  <c r="J60" i="17" s="1"/>
  <c r="J59" i="17" s="1"/>
  <c r="H61" i="17"/>
  <c r="H60" i="17" s="1"/>
  <c r="H59" i="17" s="1"/>
  <c r="G61" i="17"/>
  <c r="G60" i="17" s="1"/>
  <c r="G59" i="17" s="1"/>
  <c r="E61" i="17"/>
  <c r="E60" i="17" s="1"/>
  <c r="E59" i="17" s="1"/>
  <c r="D61" i="17"/>
  <c r="D60" i="17" s="1"/>
  <c r="D59" i="17" s="1"/>
  <c r="C61" i="17"/>
  <c r="O58" i="17"/>
  <c r="O57" i="17"/>
  <c r="F55" i="17"/>
  <c r="O55" i="17" s="1"/>
  <c r="H44" i="17"/>
  <c r="D40" i="17"/>
  <c r="D39" i="17" s="1"/>
  <c r="N36" i="17"/>
  <c r="C39" i="19" l="1"/>
  <c r="C60" i="17"/>
  <c r="E5" i="20"/>
  <c r="E86" i="20" s="1"/>
  <c r="N75" i="19"/>
  <c r="G38" i="19"/>
  <c r="O86" i="21"/>
  <c r="N86" i="21"/>
  <c r="M86" i="20"/>
  <c r="F43" i="20"/>
  <c r="I43" i="20" s="1"/>
  <c r="I48" i="20"/>
  <c r="I30" i="20"/>
  <c r="L5" i="20"/>
  <c r="L86" i="20" s="1"/>
  <c r="Z61" i="18" s="1"/>
  <c r="K5" i="20"/>
  <c r="K86" i="20" s="1"/>
  <c r="U61" i="18"/>
  <c r="C38" i="20"/>
  <c r="O65" i="20"/>
  <c r="V61" i="18"/>
  <c r="D86" i="20"/>
  <c r="N20" i="20"/>
  <c r="C7" i="20"/>
  <c r="F7" i="20" s="1"/>
  <c r="S61" i="18"/>
  <c r="O20" i="20"/>
  <c r="C65" i="19"/>
  <c r="M65" i="19"/>
  <c r="G65" i="19"/>
  <c r="N61" i="19"/>
  <c r="I61" i="19"/>
  <c r="O60" i="19"/>
  <c r="F59" i="19"/>
  <c r="N59" i="19" s="1"/>
  <c r="N60" i="19"/>
  <c r="K7" i="19"/>
  <c r="K6" i="19" s="1"/>
  <c r="L7" i="19"/>
  <c r="L6" i="19" s="1"/>
  <c r="D65" i="19"/>
  <c r="I65" i="19"/>
  <c r="I40" i="19"/>
  <c r="E7" i="19"/>
  <c r="E6" i="19" s="1"/>
  <c r="D43" i="19"/>
  <c r="D38" i="19" s="1"/>
  <c r="H7" i="19"/>
  <c r="H6" i="19" s="1"/>
  <c r="H5" i="19" s="1"/>
  <c r="N68" i="19"/>
  <c r="O75" i="19"/>
  <c r="H65" i="19"/>
  <c r="H86" i="19" s="1"/>
  <c r="N65" i="20"/>
  <c r="O68" i="19"/>
  <c r="F20" i="19"/>
  <c r="O20" i="19" s="1"/>
  <c r="I8" i="20"/>
  <c r="N8" i="20"/>
  <c r="O8" i="20"/>
  <c r="J5" i="20"/>
  <c r="I39" i="20"/>
  <c r="O39" i="20"/>
  <c r="I60" i="20"/>
  <c r="I59" i="20" s="1"/>
  <c r="F59" i="20"/>
  <c r="O60" i="20"/>
  <c r="N60" i="20"/>
  <c r="D7" i="19"/>
  <c r="D6" i="19" s="1"/>
  <c r="H54" i="17"/>
  <c r="D68" i="17"/>
  <c r="H80" i="17"/>
  <c r="F9" i="19"/>
  <c r="I9" i="19" s="1"/>
  <c r="K80" i="17"/>
  <c r="N85" i="17"/>
  <c r="J7" i="19"/>
  <c r="J6" i="19" s="1"/>
  <c r="M7" i="19"/>
  <c r="M6" i="19" s="1"/>
  <c r="M5" i="19" s="1"/>
  <c r="E80" i="17"/>
  <c r="L65" i="19"/>
  <c r="O35" i="17"/>
  <c r="N69" i="17"/>
  <c r="O78" i="17"/>
  <c r="D75" i="17"/>
  <c r="M83" i="17"/>
  <c r="E43" i="19"/>
  <c r="E38" i="19" s="1"/>
  <c r="L43" i="19"/>
  <c r="L38" i="19" s="1"/>
  <c r="E65" i="19"/>
  <c r="N21" i="17"/>
  <c r="N70" i="17"/>
  <c r="M80" i="17"/>
  <c r="K83" i="17"/>
  <c r="F44" i="19"/>
  <c r="I44" i="19" s="1"/>
  <c r="O22" i="17"/>
  <c r="L54" i="17"/>
  <c r="O73" i="17"/>
  <c r="J83" i="17"/>
  <c r="G30" i="17"/>
  <c r="D54" i="17"/>
  <c r="O80" i="19"/>
  <c r="G7" i="19"/>
  <c r="G6" i="19" s="1"/>
  <c r="G5" i="19" s="1"/>
  <c r="F65" i="19"/>
  <c r="F48" i="19"/>
  <c r="O85" i="17"/>
  <c r="O45" i="17"/>
  <c r="N67" i="17"/>
  <c r="O74" i="17"/>
  <c r="C43" i="19"/>
  <c r="K40" i="17"/>
  <c r="K39" i="17" s="1"/>
  <c r="M54" i="17"/>
  <c r="J80" i="17"/>
  <c r="O16" i="17"/>
  <c r="O32" i="17"/>
  <c r="N80" i="19"/>
  <c r="H30" i="17"/>
  <c r="C8" i="19"/>
  <c r="C7" i="19" s="1"/>
  <c r="O13" i="17"/>
  <c r="N12" i="17"/>
  <c r="O72" i="19"/>
  <c r="F30" i="19"/>
  <c r="N33" i="17"/>
  <c r="N49" i="17"/>
  <c r="G83" i="17"/>
  <c r="C40" i="17"/>
  <c r="M44" i="17"/>
  <c r="E54" i="17"/>
  <c r="C83" i="17"/>
  <c r="O40" i="19"/>
  <c r="J43" i="19"/>
  <c r="J38" i="19" s="1"/>
  <c r="K43" i="19"/>
  <c r="N40" i="19"/>
  <c r="J65" i="19"/>
  <c r="O54" i="19"/>
  <c r="K65" i="19"/>
  <c r="F39" i="19"/>
  <c r="N39" i="19" s="1"/>
  <c r="O84" i="17"/>
  <c r="N35" i="17"/>
  <c r="E20" i="17"/>
  <c r="G72" i="17"/>
  <c r="L9" i="17"/>
  <c r="L8" i="17" s="1"/>
  <c r="C20" i="17"/>
  <c r="O25" i="17"/>
  <c r="H40" i="17"/>
  <c r="H39" i="17" s="1"/>
  <c r="G40" i="17"/>
  <c r="G39" i="17" s="1"/>
  <c r="K48" i="17"/>
  <c r="D72" i="17"/>
  <c r="L75" i="17"/>
  <c r="N15" i="17"/>
  <c r="E9" i="17"/>
  <c r="E8" i="17" s="1"/>
  <c r="G54" i="17"/>
  <c r="O19" i="17"/>
  <c r="N18" i="17"/>
  <c r="G9" i="17"/>
  <c r="G8" i="17" s="1"/>
  <c r="O14" i="17"/>
  <c r="O15" i="17"/>
  <c r="M20" i="17"/>
  <c r="K20" i="17"/>
  <c r="N23" i="17"/>
  <c r="H20" i="17"/>
  <c r="E30" i="17"/>
  <c r="D30" i="17"/>
  <c r="C30" i="17"/>
  <c r="M40" i="17"/>
  <c r="M39" i="17" s="1"/>
  <c r="K44" i="17"/>
  <c r="J44" i="17"/>
  <c r="O69" i="17"/>
  <c r="N74" i="17"/>
  <c r="I72" i="17"/>
  <c r="O77" i="17"/>
  <c r="E75" i="17"/>
  <c r="G20" i="17"/>
  <c r="D20" i="17"/>
  <c r="K30" i="17"/>
  <c r="G44" i="17"/>
  <c r="K54" i="17"/>
  <c r="E72" i="17"/>
  <c r="N22" i="17"/>
  <c r="L30" i="17"/>
  <c r="J30" i="17"/>
  <c r="O46" i="17"/>
  <c r="E44" i="17"/>
  <c r="M48" i="17"/>
  <c r="L48" i="17"/>
  <c r="J54" i="17"/>
  <c r="H68" i="17"/>
  <c r="H65" i="17" s="1"/>
  <c r="G68" i="17"/>
  <c r="M75" i="17"/>
  <c r="J20" i="17"/>
  <c r="D44" i="17"/>
  <c r="O70" i="17"/>
  <c r="E68" i="17"/>
  <c r="C9" i="17"/>
  <c r="M9" i="17"/>
  <c r="M8" i="17" s="1"/>
  <c r="N26" i="17"/>
  <c r="L20" i="17"/>
  <c r="N42" i="17"/>
  <c r="C44" i="17"/>
  <c r="N50" i="17"/>
  <c r="J48" i="17"/>
  <c r="N56" i="17"/>
  <c r="H9" i="17"/>
  <c r="H8" i="17" s="1"/>
  <c r="J68" i="17"/>
  <c r="N78" i="17"/>
  <c r="L44" i="17"/>
  <c r="N57" i="17"/>
  <c r="J75" i="17"/>
  <c r="H75" i="17"/>
  <c r="G75" i="17"/>
  <c r="D9" i="17"/>
  <c r="N41" i="17"/>
  <c r="K68" i="17"/>
  <c r="N53" i="17"/>
  <c r="H48" i="17"/>
  <c r="H43" i="17" s="1"/>
  <c r="M68" i="17"/>
  <c r="L68" i="17"/>
  <c r="K72" i="17"/>
  <c r="J72" i="17"/>
  <c r="C54" i="17"/>
  <c r="N64" i="17"/>
  <c r="G48" i="17"/>
  <c r="E48" i="17"/>
  <c r="D48" i="17"/>
  <c r="O64" i="17"/>
  <c r="M30" i="17"/>
  <c r="O41" i="17"/>
  <c r="N47" i="17"/>
  <c r="N52" i="17"/>
  <c r="C48" i="17"/>
  <c r="K75" i="17"/>
  <c r="N77" i="17"/>
  <c r="F72" i="17"/>
  <c r="N72" i="17" s="1"/>
  <c r="N73" i="17"/>
  <c r="F61" i="17"/>
  <c r="O61" i="17" s="1"/>
  <c r="O52" i="17"/>
  <c r="N45" i="17"/>
  <c r="N46" i="17"/>
  <c r="O42" i="17"/>
  <c r="O26" i="17"/>
  <c r="N25" i="17"/>
  <c r="J9" i="17"/>
  <c r="K9" i="17"/>
  <c r="F60" i="17"/>
  <c r="K59" i="17"/>
  <c r="O50" i="17"/>
  <c r="O17" i="17"/>
  <c r="N27" i="17"/>
  <c r="O67" i="17"/>
  <c r="N71" i="17"/>
  <c r="O21" i="17"/>
  <c r="O24" i="17"/>
  <c r="O27" i="17"/>
  <c r="N31" i="17"/>
  <c r="N34" i="17"/>
  <c r="O47" i="17"/>
  <c r="N51" i="17"/>
  <c r="I55" i="17"/>
  <c r="N63" i="17"/>
  <c r="O71" i="17"/>
  <c r="N14" i="17"/>
  <c r="O11" i="17"/>
  <c r="O31" i="17"/>
  <c r="O34" i="17"/>
  <c r="O51" i="17"/>
  <c r="F54" i="17"/>
  <c r="N55" i="17"/>
  <c r="N58" i="17"/>
  <c r="F75" i="17"/>
  <c r="N76" i="17"/>
  <c r="N79" i="17"/>
  <c r="O36" i="17"/>
  <c r="N11" i="17"/>
  <c r="F66" i="17"/>
  <c r="N24" i="17"/>
  <c r="O82" i="17"/>
  <c r="I68" i="17"/>
  <c r="I83" i="17"/>
  <c r="O33" i="17"/>
  <c r="O53" i="17"/>
  <c r="N17" i="17"/>
  <c r="E39" i="17"/>
  <c r="C59" i="17"/>
  <c r="F68" i="17"/>
  <c r="F83" i="17"/>
  <c r="N83" i="17" s="1"/>
  <c r="I80" i="17"/>
  <c r="N13" i="17"/>
  <c r="F80" i="17"/>
  <c r="N80" i="17" s="1"/>
  <c r="N81" i="17"/>
  <c r="N10" i="17"/>
  <c r="N16" i="17"/>
  <c r="N19" i="17"/>
  <c r="C65" i="17" l="1"/>
  <c r="C39" i="17"/>
  <c r="P40" i="17"/>
  <c r="P44" i="17"/>
  <c r="O75" i="17"/>
  <c r="O59" i="19"/>
  <c r="C8" i="17"/>
  <c r="P8" i="17" s="1"/>
  <c r="AA61" i="18"/>
  <c r="N43" i="20"/>
  <c r="O43" i="20"/>
  <c r="F38" i="20"/>
  <c r="O38" i="20" s="1"/>
  <c r="I38" i="20"/>
  <c r="R61" i="18"/>
  <c r="C6" i="20"/>
  <c r="C5" i="20" s="1"/>
  <c r="C86" i="20" s="1"/>
  <c r="Y61" i="18"/>
  <c r="M86" i="19"/>
  <c r="G86" i="19"/>
  <c r="N65" i="19"/>
  <c r="O65" i="19"/>
  <c r="L5" i="19"/>
  <c r="L86" i="19" s="1"/>
  <c r="O9" i="19"/>
  <c r="F8" i="19"/>
  <c r="I8" i="19" s="1"/>
  <c r="N20" i="19"/>
  <c r="E5" i="19"/>
  <c r="E86" i="19" s="1"/>
  <c r="F43" i="19"/>
  <c r="I43" i="19" s="1"/>
  <c r="I20" i="19"/>
  <c r="N9" i="19"/>
  <c r="D5" i="19"/>
  <c r="D86" i="19" s="1"/>
  <c r="J86" i="20"/>
  <c r="O59" i="20"/>
  <c r="N59" i="20"/>
  <c r="I7" i="20"/>
  <c r="I6" i="20" s="1"/>
  <c r="F6" i="20"/>
  <c r="O7" i="20"/>
  <c r="N7" i="20"/>
  <c r="D65" i="17"/>
  <c r="N68" i="17"/>
  <c r="M43" i="17"/>
  <c r="M38" i="17" s="1"/>
  <c r="F30" i="17"/>
  <c r="O30" i="17" s="1"/>
  <c r="O44" i="19"/>
  <c r="F40" i="17"/>
  <c r="I40" i="17" s="1"/>
  <c r="N44" i="19"/>
  <c r="L65" i="17"/>
  <c r="H38" i="17"/>
  <c r="H7" i="17"/>
  <c r="H6" i="17" s="1"/>
  <c r="G7" i="17"/>
  <c r="G6" i="17" s="1"/>
  <c r="K65" i="17"/>
  <c r="E7" i="17"/>
  <c r="E6" i="17" s="1"/>
  <c r="I48" i="19"/>
  <c r="N48" i="19"/>
  <c r="O48" i="19"/>
  <c r="C38" i="19"/>
  <c r="O72" i="17"/>
  <c r="C7" i="17"/>
  <c r="M7" i="17"/>
  <c r="M6" i="17" s="1"/>
  <c r="I30" i="19"/>
  <c r="N30" i="19"/>
  <c r="O30" i="19"/>
  <c r="D43" i="17"/>
  <c r="D38" i="17" s="1"/>
  <c r="J43" i="17"/>
  <c r="J38" i="17" s="1"/>
  <c r="E65" i="17"/>
  <c r="K43" i="17"/>
  <c r="K38" i="17" s="1"/>
  <c r="I39" i="19"/>
  <c r="F7" i="19"/>
  <c r="C6" i="19"/>
  <c r="O39" i="19"/>
  <c r="J5" i="19"/>
  <c r="K38" i="19"/>
  <c r="K5" i="19" s="1"/>
  <c r="O83" i="17"/>
  <c r="F48" i="17"/>
  <c r="I48" i="17" s="1"/>
  <c r="C43" i="17"/>
  <c r="G43" i="17"/>
  <c r="G38" i="17" s="1"/>
  <c r="G5" i="17" s="1"/>
  <c r="G65" i="17"/>
  <c r="F20" i="17"/>
  <c r="O20" i="17" s="1"/>
  <c r="L7" i="17"/>
  <c r="L6" i="17" s="1"/>
  <c r="L43" i="17"/>
  <c r="L38" i="17" s="1"/>
  <c r="F9" i="17"/>
  <c r="I9" i="17" s="1"/>
  <c r="N75" i="17"/>
  <c r="E43" i="17"/>
  <c r="E38" i="17" s="1"/>
  <c r="O68" i="17"/>
  <c r="M65" i="17"/>
  <c r="J65" i="17"/>
  <c r="F44" i="17"/>
  <c r="D8" i="17"/>
  <c r="D7" i="17" s="1"/>
  <c r="D6" i="17" s="1"/>
  <c r="N54" i="17"/>
  <c r="I61" i="17"/>
  <c r="N61" i="17"/>
  <c r="N40" i="17"/>
  <c r="K8" i="17"/>
  <c r="K7" i="17" s="1"/>
  <c r="K6" i="17" s="1"/>
  <c r="J8" i="17"/>
  <c r="J7" i="17" s="1"/>
  <c r="J6" i="17" s="1"/>
  <c r="I54" i="17"/>
  <c r="F59" i="17"/>
  <c r="N59" i="17" s="1"/>
  <c r="I60" i="17"/>
  <c r="I59" i="17" s="1"/>
  <c r="F39" i="17"/>
  <c r="N60" i="17"/>
  <c r="O80" i="17"/>
  <c r="F65" i="17"/>
  <c r="O66" i="17"/>
  <c r="N66" i="17"/>
  <c r="C6" i="17"/>
  <c r="O54" i="17"/>
  <c r="I75" i="17"/>
  <c r="I65" i="17" s="1"/>
  <c r="O60" i="17"/>
  <c r="F36" i="16"/>
  <c r="O36" i="16" s="1"/>
  <c r="F37" i="16"/>
  <c r="F35" i="16"/>
  <c r="O35" i="16" s="1"/>
  <c r="F85" i="16"/>
  <c r="I85" i="16" s="1"/>
  <c r="F84" i="16"/>
  <c r="O84" i="16" s="1"/>
  <c r="M83" i="16"/>
  <c r="L83" i="16"/>
  <c r="K83" i="16"/>
  <c r="J83" i="16"/>
  <c r="H83" i="16"/>
  <c r="G83" i="16"/>
  <c r="E83" i="16"/>
  <c r="D83" i="16"/>
  <c r="C83" i="16"/>
  <c r="P83" i="17" s="1"/>
  <c r="F82" i="16"/>
  <c r="O82" i="16" s="1"/>
  <c r="F81" i="16"/>
  <c r="I81" i="16" s="1"/>
  <c r="M80" i="16"/>
  <c r="L80" i="16"/>
  <c r="K80" i="16"/>
  <c r="J80" i="16"/>
  <c r="H80" i="16"/>
  <c r="G80" i="16"/>
  <c r="E80" i="16"/>
  <c r="D80" i="16"/>
  <c r="C80" i="16"/>
  <c r="P80" i="17" s="1"/>
  <c r="F79" i="16"/>
  <c r="N79" i="16" s="1"/>
  <c r="F78" i="16"/>
  <c r="O78" i="16" s="1"/>
  <c r="F77" i="16"/>
  <c r="N77" i="16" s="1"/>
  <c r="F76" i="16"/>
  <c r="I76" i="16" s="1"/>
  <c r="M75" i="16"/>
  <c r="L75" i="16"/>
  <c r="K75" i="16"/>
  <c r="J75" i="16"/>
  <c r="H75" i="16"/>
  <c r="G75" i="16"/>
  <c r="E75" i="16"/>
  <c r="D75" i="16"/>
  <c r="C75" i="16"/>
  <c r="P75" i="17" s="1"/>
  <c r="O74" i="16"/>
  <c r="N74" i="16"/>
  <c r="I74" i="16"/>
  <c r="F74" i="16"/>
  <c r="F73" i="16"/>
  <c r="O73" i="16" s="1"/>
  <c r="M72" i="16"/>
  <c r="L72" i="16"/>
  <c r="K72" i="16"/>
  <c r="J72" i="16"/>
  <c r="H72" i="16"/>
  <c r="G72" i="16"/>
  <c r="F72" i="16"/>
  <c r="E72" i="16"/>
  <c r="D72" i="16"/>
  <c r="C72" i="16"/>
  <c r="P72" i="17" s="1"/>
  <c r="F71" i="16"/>
  <c r="N71" i="16" s="1"/>
  <c r="F70" i="16"/>
  <c r="I70" i="16" s="1"/>
  <c r="F69" i="16"/>
  <c r="I69" i="16" s="1"/>
  <c r="M68" i="16"/>
  <c r="L68" i="16"/>
  <c r="K68" i="16"/>
  <c r="J68" i="16"/>
  <c r="H68" i="16"/>
  <c r="G68" i="16"/>
  <c r="E68" i="16"/>
  <c r="D68" i="16"/>
  <c r="C68" i="16"/>
  <c r="P68" i="17" s="1"/>
  <c r="F67" i="16"/>
  <c r="N67" i="16" s="1"/>
  <c r="M66" i="16"/>
  <c r="L66" i="16"/>
  <c r="K66" i="16"/>
  <c r="J66" i="16"/>
  <c r="H66" i="16"/>
  <c r="G66" i="16"/>
  <c r="E66" i="16"/>
  <c r="D66" i="16"/>
  <c r="C66" i="16"/>
  <c r="P66" i="17" s="1"/>
  <c r="F64" i="16"/>
  <c r="O64" i="16" s="1"/>
  <c r="F63" i="16"/>
  <c r="O63" i="16" s="1"/>
  <c r="F62" i="16"/>
  <c r="O62" i="16" s="1"/>
  <c r="M61" i="16"/>
  <c r="L61" i="16"/>
  <c r="K61" i="16"/>
  <c r="K60" i="16" s="1"/>
  <c r="K59" i="16" s="1"/>
  <c r="J61" i="16"/>
  <c r="J60" i="16" s="1"/>
  <c r="J59" i="16" s="1"/>
  <c r="H61" i="16"/>
  <c r="H60" i="16" s="1"/>
  <c r="H59" i="16" s="1"/>
  <c r="G61" i="16"/>
  <c r="G60" i="16" s="1"/>
  <c r="G59" i="16" s="1"/>
  <c r="E61" i="16"/>
  <c r="D61" i="16"/>
  <c r="D60" i="16" s="1"/>
  <c r="D59" i="16" s="1"/>
  <c r="C61" i="16"/>
  <c r="P61" i="17" s="1"/>
  <c r="M60" i="16"/>
  <c r="M59" i="16" s="1"/>
  <c r="L60" i="16"/>
  <c r="L59" i="16" s="1"/>
  <c r="F58" i="16"/>
  <c r="N58" i="16" s="1"/>
  <c r="F57" i="16"/>
  <c r="N57" i="16" s="1"/>
  <c r="F56" i="16"/>
  <c r="O56" i="16" s="1"/>
  <c r="F55" i="16"/>
  <c r="N55" i="16" s="1"/>
  <c r="M54" i="16"/>
  <c r="L54" i="16"/>
  <c r="K54" i="16"/>
  <c r="J54" i="16"/>
  <c r="H54" i="16"/>
  <c r="G54" i="16"/>
  <c r="E54" i="16"/>
  <c r="D54" i="16"/>
  <c r="C54" i="16"/>
  <c r="P54" i="17" s="1"/>
  <c r="F53" i="16"/>
  <c r="O53" i="16" s="1"/>
  <c r="F52" i="16"/>
  <c r="O52" i="16" s="1"/>
  <c r="F51" i="16"/>
  <c r="O51" i="16" s="1"/>
  <c r="F50" i="16"/>
  <c r="N50" i="16" s="1"/>
  <c r="F49" i="16"/>
  <c r="O49" i="16" s="1"/>
  <c r="M48" i="16"/>
  <c r="L48" i="16"/>
  <c r="K48" i="16"/>
  <c r="J48" i="16"/>
  <c r="H48" i="16"/>
  <c r="G48" i="16"/>
  <c r="E48" i="16"/>
  <c r="D48" i="16"/>
  <c r="C48" i="16"/>
  <c r="P48" i="17" s="1"/>
  <c r="F47" i="16"/>
  <c r="O47" i="16" s="1"/>
  <c r="F46" i="16"/>
  <c r="I46" i="16" s="1"/>
  <c r="F45" i="16"/>
  <c r="O45" i="16" s="1"/>
  <c r="M44" i="16"/>
  <c r="L44" i="16"/>
  <c r="K44" i="16"/>
  <c r="J44" i="16"/>
  <c r="H44" i="16"/>
  <c r="H43" i="16" s="1"/>
  <c r="G44" i="16"/>
  <c r="E44" i="16"/>
  <c r="E43" i="16" s="1"/>
  <c r="D44" i="16"/>
  <c r="F44" i="16" s="1"/>
  <c r="C44" i="16"/>
  <c r="F42" i="16"/>
  <c r="N42" i="16" s="1"/>
  <c r="F41" i="16"/>
  <c r="I41" i="16" s="1"/>
  <c r="M40" i="16"/>
  <c r="M39" i="16" s="1"/>
  <c r="L40" i="16"/>
  <c r="L39" i="16" s="1"/>
  <c r="K40" i="16"/>
  <c r="K39" i="16" s="1"/>
  <c r="J40" i="16"/>
  <c r="H40" i="16"/>
  <c r="H39" i="16" s="1"/>
  <c r="G40" i="16"/>
  <c r="G39" i="16" s="1"/>
  <c r="E40" i="16"/>
  <c r="D40" i="16"/>
  <c r="D39" i="16" s="1"/>
  <c r="C40" i="16"/>
  <c r="E39" i="16"/>
  <c r="F34" i="16"/>
  <c r="N34" i="16" s="1"/>
  <c r="F33" i="16"/>
  <c r="O33" i="16" s="1"/>
  <c r="F32" i="16"/>
  <c r="O32" i="16" s="1"/>
  <c r="F31" i="16"/>
  <c r="O31" i="16" s="1"/>
  <c r="M30" i="16"/>
  <c r="L30" i="16"/>
  <c r="K30" i="16"/>
  <c r="J30" i="16"/>
  <c r="H30" i="16"/>
  <c r="G30" i="16"/>
  <c r="E30" i="16"/>
  <c r="D30" i="16"/>
  <c r="C30" i="16"/>
  <c r="P30" i="17" s="1"/>
  <c r="F29" i="16"/>
  <c r="I29" i="16" s="1"/>
  <c r="F28" i="16"/>
  <c r="I28" i="16" s="1"/>
  <c r="F27" i="16"/>
  <c r="O27" i="16" s="1"/>
  <c r="F26" i="16"/>
  <c r="I26" i="16" s="1"/>
  <c r="F25" i="16"/>
  <c r="N25" i="16" s="1"/>
  <c r="F24" i="16"/>
  <c r="I24" i="16" s="1"/>
  <c r="F23" i="16"/>
  <c r="O23" i="16" s="1"/>
  <c r="F22" i="16"/>
  <c r="I22" i="16" s="1"/>
  <c r="F21" i="16"/>
  <c r="I21" i="16" s="1"/>
  <c r="M20" i="16"/>
  <c r="L20" i="16"/>
  <c r="K20" i="16"/>
  <c r="J20" i="16"/>
  <c r="H20" i="16"/>
  <c r="G20" i="16"/>
  <c r="E20" i="16"/>
  <c r="D20" i="16"/>
  <c r="C20" i="16"/>
  <c r="P20" i="17" s="1"/>
  <c r="F19" i="16"/>
  <c r="I19" i="16" s="1"/>
  <c r="F18" i="16"/>
  <c r="I18" i="16" s="1"/>
  <c r="F17" i="16"/>
  <c r="I17" i="16" s="1"/>
  <c r="F16" i="16"/>
  <c r="I16" i="16" s="1"/>
  <c r="F15" i="16"/>
  <c r="N15" i="16" s="1"/>
  <c r="F14" i="16"/>
  <c r="I14" i="16" s="1"/>
  <c r="F13" i="16"/>
  <c r="O13" i="16" s="1"/>
  <c r="F12" i="16"/>
  <c r="I12" i="16" s="1"/>
  <c r="F11" i="16"/>
  <c r="O11" i="16" s="1"/>
  <c r="F10" i="16"/>
  <c r="I10" i="16" s="1"/>
  <c r="M9" i="16"/>
  <c r="M8" i="16" s="1"/>
  <c r="L9" i="16"/>
  <c r="L8" i="16" s="1"/>
  <c r="K9" i="16"/>
  <c r="K8" i="16" s="1"/>
  <c r="J9" i="16"/>
  <c r="J8" i="16" s="1"/>
  <c r="H9" i="16"/>
  <c r="H8" i="16" s="1"/>
  <c r="G9" i="16"/>
  <c r="G8" i="16" s="1"/>
  <c r="E9" i="16"/>
  <c r="E8" i="16" s="1"/>
  <c r="D9" i="16"/>
  <c r="D8" i="16" s="1"/>
  <c r="C9" i="16"/>
  <c r="C8" i="16" s="1"/>
  <c r="O10" i="16" l="1"/>
  <c r="C60" i="16"/>
  <c r="C38" i="17"/>
  <c r="D43" i="16"/>
  <c r="I50" i="16"/>
  <c r="I5" i="20"/>
  <c r="I86" i="20" s="1"/>
  <c r="O50" i="16"/>
  <c r="P9" i="17"/>
  <c r="N38" i="20"/>
  <c r="W61" i="18"/>
  <c r="Q61" i="18"/>
  <c r="X61" i="18"/>
  <c r="N8" i="19"/>
  <c r="O8" i="19"/>
  <c r="F38" i="19"/>
  <c r="N38" i="19" s="1"/>
  <c r="N43" i="19"/>
  <c r="I38" i="19"/>
  <c r="O43" i="19"/>
  <c r="F5" i="20"/>
  <c r="O6" i="20"/>
  <c r="N6" i="20"/>
  <c r="O48" i="17"/>
  <c r="D5" i="17"/>
  <c r="D86" i="17" s="1"/>
  <c r="H5" i="17"/>
  <c r="H86" i="17" s="1"/>
  <c r="L5" i="17"/>
  <c r="L86" i="17" s="1"/>
  <c r="J5" i="17"/>
  <c r="O40" i="17"/>
  <c r="N30" i="17"/>
  <c r="I30" i="17"/>
  <c r="M5" i="17"/>
  <c r="M86" i="17" s="1"/>
  <c r="F8" i="17"/>
  <c r="I8" i="17" s="1"/>
  <c r="G86" i="17"/>
  <c r="F7" i="17"/>
  <c r="O65" i="17"/>
  <c r="E5" i="17"/>
  <c r="E86" i="17" s="1"/>
  <c r="N9" i="17"/>
  <c r="K5" i="17"/>
  <c r="K86" i="17" s="1"/>
  <c r="C5" i="19"/>
  <c r="C86" i="19" s="1"/>
  <c r="O9" i="17"/>
  <c r="O38" i="19"/>
  <c r="K86" i="19"/>
  <c r="J86" i="19"/>
  <c r="I7" i="19"/>
  <c r="I6" i="19" s="1"/>
  <c r="F6" i="19"/>
  <c r="N7" i="19"/>
  <c r="O7" i="19"/>
  <c r="F43" i="17"/>
  <c r="I43" i="17" s="1"/>
  <c r="N20" i="17"/>
  <c r="I20" i="17"/>
  <c r="N48" i="17"/>
  <c r="C5" i="17"/>
  <c r="C86" i="17" s="1"/>
  <c r="J86" i="17"/>
  <c r="O59" i="17"/>
  <c r="I44" i="17"/>
  <c r="N44" i="17"/>
  <c r="O44" i="17"/>
  <c r="N65" i="17"/>
  <c r="I7" i="17"/>
  <c r="I6" i="17" s="1"/>
  <c r="F6" i="17"/>
  <c r="O7" i="17"/>
  <c r="N7" i="17"/>
  <c r="I39" i="17"/>
  <c r="N39" i="17"/>
  <c r="O39" i="17"/>
  <c r="F54" i="16"/>
  <c r="N54" i="16" s="1"/>
  <c r="I67" i="16"/>
  <c r="I66" i="16" s="1"/>
  <c r="O70" i="16"/>
  <c r="G43" i="16"/>
  <c r="C65" i="16"/>
  <c r="P65" i="17" s="1"/>
  <c r="N81" i="16"/>
  <c r="N70" i="16"/>
  <c r="H7" i="16"/>
  <c r="H6" i="16" s="1"/>
  <c r="F48" i="16"/>
  <c r="I48" i="16" s="1"/>
  <c r="E7" i="16"/>
  <c r="E6" i="16" s="1"/>
  <c r="G7" i="16"/>
  <c r="G6" i="16" s="1"/>
  <c r="F30" i="16"/>
  <c r="N30" i="16" s="1"/>
  <c r="I56" i="16"/>
  <c r="F61" i="16"/>
  <c r="G65" i="16"/>
  <c r="N56" i="16"/>
  <c r="O58" i="16"/>
  <c r="O81" i="16"/>
  <c r="F20" i="16"/>
  <c r="O20" i="16" s="1"/>
  <c r="F40" i="16"/>
  <c r="I40" i="16" s="1"/>
  <c r="N85" i="16"/>
  <c r="C43" i="16"/>
  <c r="P43" i="17" s="1"/>
  <c r="N46" i="16"/>
  <c r="O72" i="16"/>
  <c r="O85" i="16"/>
  <c r="I78" i="16"/>
  <c r="N22" i="16"/>
  <c r="N41" i="16"/>
  <c r="E65" i="16"/>
  <c r="I20" i="16"/>
  <c r="O41" i="16"/>
  <c r="O18" i="16"/>
  <c r="O46" i="16"/>
  <c r="N78" i="16"/>
  <c r="I82" i="16"/>
  <c r="I80" i="16" s="1"/>
  <c r="N44" i="16"/>
  <c r="D65" i="16"/>
  <c r="F75" i="16"/>
  <c r="E38" i="16"/>
  <c r="O44" i="16"/>
  <c r="K7" i="16"/>
  <c r="K6" i="16" s="1"/>
  <c r="N26" i="16"/>
  <c r="I58" i="16"/>
  <c r="N72" i="16"/>
  <c r="N76" i="16"/>
  <c r="O26" i="16"/>
  <c r="O76" i="16"/>
  <c r="J65" i="16"/>
  <c r="M65" i="16"/>
  <c r="L65" i="16"/>
  <c r="H65" i="16"/>
  <c r="N61" i="16"/>
  <c r="O61" i="16"/>
  <c r="I63" i="16"/>
  <c r="E60" i="16"/>
  <c r="E59" i="16" s="1"/>
  <c r="N63" i="16"/>
  <c r="L43" i="16"/>
  <c r="L38" i="16" s="1"/>
  <c r="M43" i="16"/>
  <c r="M38" i="16" s="1"/>
  <c r="I52" i="16"/>
  <c r="N52" i="16"/>
  <c r="D38" i="16"/>
  <c r="K43" i="16"/>
  <c r="K38" i="16" s="1"/>
  <c r="I37" i="16"/>
  <c r="I36" i="16"/>
  <c r="N36" i="16"/>
  <c r="N24" i="16"/>
  <c r="N28" i="16"/>
  <c r="O12" i="16"/>
  <c r="O24" i="16"/>
  <c r="O28" i="16"/>
  <c r="O34" i="16"/>
  <c r="O22" i="16"/>
  <c r="D7" i="16"/>
  <c r="D6" i="16" s="1"/>
  <c r="I34" i="16"/>
  <c r="I32" i="16"/>
  <c r="N32" i="16"/>
  <c r="L7" i="16"/>
  <c r="L6" i="16" s="1"/>
  <c r="M7" i="16"/>
  <c r="O14" i="16"/>
  <c r="O16" i="16"/>
  <c r="F8" i="16"/>
  <c r="I8" i="16" s="1"/>
  <c r="G38" i="16"/>
  <c r="G5" i="16" s="1"/>
  <c r="G86" i="16" s="1"/>
  <c r="N40" i="16"/>
  <c r="N75" i="16"/>
  <c r="H38" i="16"/>
  <c r="O75" i="16"/>
  <c r="I11" i="16"/>
  <c r="F9" i="16"/>
  <c r="N17" i="16"/>
  <c r="I27" i="16"/>
  <c r="I45" i="16"/>
  <c r="O17" i="16"/>
  <c r="N23" i="16"/>
  <c r="I35" i="16"/>
  <c r="I51" i="16"/>
  <c r="I61" i="16"/>
  <c r="N69" i="16"/>
  <c r="N10" i="16"/>
  <c r="N12" i="16"/>
  <c r="N14" i="16"/>
  <c r="N16" i="16"/>
  <c r="N18" i="16"/>
  <c r="O40" i="16"/>
  <c r="O42" i="16"/>
  <c r="J43" i="16"/>
  <c r="O55" i="16"/>
  <c r="O57" i="16"/>
  <c r="K65" i="16"/>
  <c r="F66" i="16"/>
  <c r="O66" i="16" s="1"/>
  <c r="N66" i="16"/>
  <c r="O77" i="16"/>
  <c r="O79" i="16"/>
  <c r="I13" i="16"/>
  <c r="N11" i="16"/>
  <c r="I25" i="16"/>
  <c r="I44" i="16"/>
  <c r="I47" i="16"/>
  <c r="O15" i="16"/>
  <c r="N21" i="16"/>
  <c r="N27" i="16"/>
  <c r="I33" i="16"/>
  <c r="N45" i="16"/>
  <c r="I49" i="16"/>
  <c r="I64" i="16"/>
  <c r="O67" i="16"/>
  <c r="F68" i="16"/>
  <c r="O68" i="16" s="1"/>
  <c r="F83" i="16"/>
  <c r="O83" i="16" s="1"/>
  <c r="N48" i="16"/>
  <c r="N13" i="16"/>
  <c r="N19" i="16"/>
  <c r="I23" i="16"/>
  <c r="I71" i="16"/>
  <c r="I68" i="16" s="1"/>
  <c r="I84" i="16"/>
  <c r="I83" i="16" s="1"/>
  <c r="O19" i="16"/>
  <c r="N29" i="16"/>
  <c r="N47" i="16"/>
  <c r="I53" i="16"/>
  <c r="I62" i="16"/>
  <c r="N84" i="16"/>
  <c r="J7" i="16"/>
  <c r="J6" i="16" s="1"/>
  <c r="O21" i="16"/>
  <c r="O25" i="16"/>
  <c r="O29" i="16"/>
  <c r="N31" i="16"/>
  <c r="N33" i="16"/>
  <c r="N35" i="16"/>
  <c r="J39" i="16"/>
  <c r="I42" i="16"/>
  <c r="N49" i="16"/>
  <c r="N51" i="16"/>
  <c r="N53" i="16"/>
  <c r="I55" i="16"/>
  <c r="I57" i="16"/>
  <c r="N62" i="16"/>
  <c r="N64" i="16"/>
  <c r="O69" i="16"/>
  <c r="O71" i="16"/>
  <c r="N73" i="16"/>
  <c r="I77" i="16"/>
  <c r="I79" i="16"/>
  <c r="I15" i="16"/>
  <c r="F80" i="16"/>
  <c r="N82" i="16"/>
  <c r="I31" i="16"/>
  <c r="I73" i="16"/>
  <c r="I72" i="16" s="1"/>
  <c r="C7" i="16"/>
  <c r="C6" i="16" s="1"/>
  <c r="C39" i="16"/>
  <c r="P39" i="17" s="1"/>
  <c r="F10" i="15"/>
  <c r="I10" i="15" s="1"/>
  <c r="F11" i="15"/>
  <c r="I11" i="15"/>
  <c r="N11" i="15"/>
  <c r="O11" i="15"/>
  <c r="F12" i="15"/>
  <c r="I12" i="15" s="1"/>
  <c r="F13" i="15"/>
  <c r="I13" i="15" s="1"/>
  <c r="F14" i="15"/>
  <c r="I14" i="15" s="1"/>
  <c r="F15" i="15"/>
  <c r="I15" i="15" s="1"/>
  <c r="O15" i="15"/>
  <c r="F16" i="15"/>
  <c r="I16" i="15" s="1"/>
  <c r="F17" i="15"/>
  <c r="N17" i="15" s="1"/>
  <c r="F18" i="15"/>
  <c r="I18" i="15" s="1"/>
  <c r="F19" i="15"/>
  <c r="O19" i="15" s="1"/>
  <c r="N19" i="15"/>
  <c r="F43" i="16" l="1"/>
  <c r="I43" i="16" s="1"/>
  <c r="P7" i="17"/>
  <c r="N8" i="17"/>
  <c r="O8" i="17"/>
  <c r="O18" i="15"/>
  <c r="C59" i="16"/>
  <c r="P59" i="17" s="1"/>
  <c r="P60" i="17"/>
  <c r="I5" i="19"/>
  <c r="I86" i="19" s="1"/>
  <c r="F86" i="20"/>
  <c r="O5" i="20"/>
  <c r="N5" i="20"/>
  <c r="N43" i="17"/>
  <c r="F5" i="19"/>
  <c r="O6" i="19"/>
  <c r="N6" i="19"/>
  <c r="O43" i="17"/>
  <c r="F38" i="17"/>
  <c r="N38" i="17" s="1"/>
  <c r="I38" i="17"/>
  <c r="I5" i="17" s="1"/>
  <c r="I86" i="17" s="1"/>
  <c r="N6" i="17"/>
  <c r="O6" i="17"/>
  <c r="O54" i="16"/>
  <c r="N14" i="15"/>
  <c r="N20" i="16"/>
  <c r="E5" i="16"/>
  <c r="E86" i="16" s="1"/>
  <c r="I30" i="16"/>
  <c r="O48" i="16"/>
  <c r="O30" i="16"/>
  <c r="F60" i="16"/>
  <c r="O60" i="16" s="1"/>
  <c r="M6" i="16"/>
  <c r="M5" i="16" s="1"/>
  <c r="M86" i="16" s="1"/>
  <c r="L5" i="16"/>
  <c r="L86" i="16" s="1"/>
  <c r="H5" i="16"/>
  <c r="H86" i="16" s="1"/>
  <c r="D5" i="16"/>
  <c r="D86" i="16" s="1"/>
  <c r="O8" i="16"/>
  <c r="I75" i="16"/>
  <c r="I65" i="16" s="1"/>
  <c r="F7" i="16"/>
  <c r="K5" i="16"/>
  <c r="N68" i="16"/>
  <c r="F39" i="16"/>
  <c r="C38" i="16"/>
  <c r="P38" i="17" s="1"/>
  <c r="O80" i="16"/>
  <c r="N80" i="16"/>
  <c r="J38" i="16"/>
  <c r="I9" i="16"/>
  <c r="N9" i="16"/>
  <c r="O9" i="16"/>
  <c r="I54" i="16"/>
  <c r="F59" i="16"/>
  <c r="F65" i="16"/>
  <c r="N65" i="16" s="1"/>
  <c r="N8" i="16"/>
  <c r="N83" i="16"/>
  <c r="I19" i="15"/>
  <c r="O13" i="15"/>
  <c r="N10" i="15"/>
  <c r="I17" i="15"/>
  <c r="N13" i="15"/>
  <c r="N18" i="15"/>
  <c r="N15" i="15"/>
  <c r="O10" i="15"/>
  <c r="O17" i="15"/>
  <c r="O12" i="15"/>
  <c r="O14" i="15"/>
  <c r="N12" i="15"/>
  <c r="O16" i="15"/>
  <c r="N16" i="15"/>
  <c r="F84" i="15"/>
  <c r="I84" i="15" s="1"/>
  <c r="F83" i="15"/>
  <c r="O83" i="15" s="1"/>
  <c r="M82" i="15"/>
  <c r="L82" i="15"/>
  <c r="K82" i="15"/>
  <c r="J82" i="15"/>
  <c r="H82" i="15"/>
  <c r="G82" i="15"/>
  <c r="E82" i="15"/>
  <c r="D82" i="15"/>
  <c r="C82" i="15"/>
  <c r="F81" i="15"/>
  <c r="O81" i="15" s="1"/>
  <c r="F80" i="15"/>
  <c r="I80" i="15" s="1"/>
  <c r="M79" i="15"/>
  <c r="L79" i="15"/>
  <c r="K79" i="15"/>
  <c r="J79" i="15"/>
  <c r="H79" i="15"/>
  <c r="G79" i="15"/>
  <c r="E79" i="15"/>
  <c r="D79" i="15"/>
  <c r="C79" i="15"/>
  <c r="F78" i="15"/>
  <c r="N78" i="15" s="1"/>
  <c r="F77" i="15"/>
  <c r="I77" i="15" s="1"/>
  <c r="F76" i="15"/>
  <c r="N76" i="15" s="1"/>
  <c r="F75" i="15"/>
  <c r="M74" i="15"/>
  <c r="L74" i="15"/>
  <c r="K74" i="15"/>
  <c r="J74" i="15"/>
  <c r="H74" i="15"/>
  <c r="G74" i="15"/>
  <c r="E74" i="15"/>
  <c r="D74" i="15"/>
  <c r="C74" i="15"/>
  <c r="F73" i="15"/>
  <c r="O73" i="15" s="1"/>
  <c r="F72" i="15"/>
  <c r="O72" i="15" s="1"/>
  <c r="M71" i="15"/>
  <c r="L71" i="15"/>
  <c r="K71" i="15"/>
  <c r="J71" i="15"/>
  <c r="H71" i="15"/>
  <c r="G71" i="15"/>
  <c r="E71" i="15"/>
  <c r="D71" i="15"/>
  <c r="C71" i="15"/>
  <c r="F70" i="15"/>
  <c r="O70" i="15" s="1"/>
  <c r="F69" i="15"/>
  <c r="I69" i="15" s="1"/>
  <c r="F68" i="15"/>
  <c r="N68" i="15" s="1"/>
  <c r="M67" i="15"/>
  <c r="L67" i="15"/>
  <c r="K67" i="15"/>
  <c r="J67" i="15"/>
  <c r="H67" i="15"/>
  <c r="G67" i="15"/>
  <c r="E67" i="15"/>
  <c r="D67" i="15"/>
  <c r="C67" i="15"/>
  <c r="F66" i="15"/>
  <c r="O66" i="15" s="1"/>
  <c r="M65" i="15"/>
  <c r="L65" i="15"/>
  <c r="K65" i="15"/>
  <c r="J65" i="15"/>
  <c r="H65" i="15"/>
  <c r="G65" i="15"/>
  <c r="E65" i="15"/>
  <c r="D65" i="15"/>
  <c r="C65" i="15"/>
  <c r="F63" i="15"/>
  <c r="O63" i="15" s="1"/>
  <c r="F62" i="15"/>
  <c r="O62" i="15" s="1"/>
  <c r="F61" i="15"/>
  <c r="O61" i="15" s="1"/>
  <c r="M60" i="15"/>
  <c r="M59" i="15" s="1"/>
  <c r="M58" i="15" s="1"/>
  <c r="L60" i="15"/>
  <c r="L59" i="15" s="1"/>
  <c r="L58" i="15" s="1"/>
  <c r="K60" i="15"/>
  <c r="J60" i="15"/>
  <c r="J59" i="15" s="1"/>
  <c r="H60" i="15"/>
  <c r="H59" i="15" s="1"/>
  <c r="H58" i="15" s="1"/>
  <c r="G60" i="15"/>
  <c r="G59" i="15" s="1"/>
  <c r="G58" i="15" s="1"/>
  <c r="E60" i="15"/>
  <c r="D60" i="15"/>
  <c r="D59" i="15" s="1"/>
  <c r="D58" i="15" s="1"/>
  <c r="C60" i="15"/>
  <c r="C59" i="15" s="1"/>
  <c r="F57" i="15"/>
  <c r="O57" i="15" s="1"/>
  <c r="F56" i="15"/>
  <c r="N56" i="15" s="1"/>
  <c r="F55" i="15"/>
  <c r="I55" i="15" s="1"/>
  <c r="F54" i="15"/>
  <c r="N54" i="15" s="1"/>
  <c r="M53" i="15"/>
  <c r="L53" i="15"/>
  <c r="K53" i="15"/>
  <c r="J53" i="15"/>
  <c r="H53" i="15"/>
  <c r="G53" i="15"/>
  <c r="E53" i="15"/>
  <c r="D53" i="15"/>
  <c r="C53" i="15"/>
  <c r="F52" i="15"/>
  <c r="O52" i="15" s="1"/>
  <c r="F51" i="15"/>
  <c r="O51" i="15" s="1"/>
  <c r="F50" i="15"/>
  <c r="O50" i="15" s="1"/>
  <c r="F49" i="15"/>
  <c r="O49" i="15" s="1"/>
  <c r="F48" i="15"/>
  <c r="O48" i="15" s="1"/>
  <c r="M47" i="15"/>
  <c r="L47" i="15"/>
  <c r="K47" i="15"/>
  <c r="J47" i="15"/>
  <c r="H47" i="15"/>
  <c r="G47" i="15"/>
  <c r="E47" i="15"/>
  <c r="D47" i="15"/>
  <c r="C47" i="15"/>
  <c r="F46" i="15"/>
  <c r="O46" i="15" s="1"/>
  <c r="F45" i="15"/>
  <c r="I45" i="15" s="1"/>
  <c r="F44" i="15"/>
  <c r="O44" i="15" s="1"/>
  <c r="M43" i="15"/>
  <c r="L43" i="15"/>
  <c r="K43" i="15"/>
  <c r="K42" i="15" s="1"/>
  <c r="J43" i="15"/>
  <c r="H43" i="15"/>
  <c r="G43" i="15"/>
  <c r="G42" i="15" s="1"/>
  <c r="E43" i="15"/>
  <c r="D43" i="15"/>
  <c r="D42" i="15" s="1"/>
  <c r="C43" i="15"/>
  <c r="F41" i="15"/>
  <c r="N41" i="15" s="1"/>
  <c r="F40" i="15"/>
  <c r="O40" i="15" s="1"/>
  <c r="M39" i="15"/>
  <c r="L39" i="15"/>
  <c r="L38" i="15" s="1"/>
  <c r="K39" i="15"/>
  <c r="K38" i="15" s="1"/>
  <c r="J39" i="15"/>
  <c r="H39" i="15"/>
  <c r="H38" i="15" s="1"/>
  <c r="G39" i="15"/>
  <c r="G38" i="15" s="1"/>
  <c r="E39" i="15"/>
  <c r="E38" i="15" s="1"/>
  <c r="D39" i="15"/>
  <c r="D38" i="15" s="1"/>
  <c r="C39" i="15"/>
  <c r="M38" i="15"/>
  <c r="J38" i="15"/>
  <c r="O36" i="15"/>
  <c r="F35" i="15"/>
  <c r="O35" i="15" s="1"/>
  <c r="F34" i="15"/>
  <c r="I34" i="15" s="1"/>
  <c r="F33" i="15"/>
  <c r="O33" i="15" s="1"/>
  <c r="F32" i="15"/>
  <c r="I32" i="15" s="1"/>
  <c r="F31" i="15"/>
  <c r="O31" i="15" s="1"/>
  <c r="M30" i="15"/>
  <c r="L30" i="15"/>
  <c r="K30" i="15"/>
  <c r="J30" i="15"/>
  <c r="H30" i="15"/>
  <c r="G30" i="15"/>
  <c r="E30" i="15"/>
  <c r="D30" i="15"/>
  <c r="C30" i="15"/>
  <c r="F29" i="15"/>
  <c r="O29" i="15" s="1"/>
  <c r="F28" i="15"/>
  <c r="N28" i="15" s="1"/>
  <c r="F27" i="15"/>
  <c r="O27" i="15" s="1"/>
  <c r="F26" i="15"/>
  <c r="N26" i="15" s="1"/>
  <c r="F25" i="15"/>
  <c r="I25" i="15" s="1"/>
  <c r="F24" i="15"/>
  <c r="N24" i="15" s="1"/>
  <c r="F23" i="15"/>
  <c r="O23" i="15" s="1"/>
  <c r="F22" i="15"/>
  <c r="N22" i="15" s="1"/>
  <c r="F21" i="15"/>
  <c r="I21" i="15" s="1"/>
  <c r="M20" i="15"/>
  <c r="L20" i="15"/>
  <c r="K20" i="15"/>
  <c r="J20" i="15"/>
  <c r="H20" i="15"/>
  <c r="G20" i="15"/>
  <c r="E20" i="15"/>
  <c r="D20" i="15"/>
  <c r="C20" i="15"/>
  <c r="M9" i="15"/>
  <c r="M8" i="15" s="1"/>
  <c r="L9" i="15"/>
  <c r="L8" i="15" s="1"/>
  <c r="K9" i="15"/>
  <c r="K8" i="15" s="1"/>
  <c r="J9" i="15"/>
  <c r="J8" i="15" s="1"/>
  <c r="H9" i="15"/>
  <c r="H8" i="15" s="1"/>
  <c r="G9" i="15"/>
  <c r="G8" i="15" s="1"/>
  <c r="E9" i="15"/>
  <c r="D9" i="15"/>
  <c r="D8" i="15" s="1"/>
  <c r="C9" i="15"/>
  <c r="C8" i="15" s="1"/>
  <c r="I72" i="15" l="1"/>
  <c r="F20" i="15"/>
  <c r="N84" i="15"/>
  <c r="M7" i="15"/>
  <c r="M6" i="15" s="1"/>
  <c r="I63" i="15"/>
  <c r="O84" i="15"/>
  <c r="O43" i="16"/>
  <c r="D64" i="15"/>
  <c r="F71" i="15"/>
  <c r="O71" i="15" s="1"/>
  <c r="N43" i="16"/>
  <c r="I60" i="16"/>
  <c r="I59" i="16" s="1"/>
  <c r="T61" i="18"/>
  <c r="O86" i="20"/>
  <c r="N86" i="20"/>
  <c r="F86" i="19"/>
  <c r="N5" i="19"/>
  <c r="O5" i="19"/>
  <c r="F5" i="17"/>
  <c r="N5" i="17" s="1"/>
  <c r="O38" i="17"/>
  <c r="I61" i="15"/>
  <c r="N50" i="15"/>
  <c r="N61" i="15"/>
  <c r="I62" i="15"/>
  <c r="O68" i="15"/>
  <c r="N20" i="15"/>
  <c r="L42" i="15"/>
  <c r="F60" i="15"/>
  <c r="F74" i="15"/>
  <c r="N74" i="15" s="1"/>
  <c r="N60" i="16"/>
  <c r="O80" i="15"/>
  <c r="N7" i="16"/>
  <c r="F6" i="16"/>
  <c r="N6" i="16" s="1"/>
  <c r="C5" i="16"/>
  <c r="C86" i="16" s="1"/>
  <c r="F38" i="16"/>
  <c r="N38" i="16" s="1"/>
  <c r="I39" i="16"/>
  <c r="I38" i="16" s="1"/>
  <c r="O39" i="16"/>
  <c r="O59" i="16"/>
  <c r="N59" i="16"/>
  <c r="K86" i="16"/>
  <c r="I7" i="16"/>
  <c r="I6" i="16" s="1"/>
  <c r="O7" i="16"/>
  <c r="N39" i="16"/>
  <c r="O65" i="16"/>
  <c r="J5" i="16"/>
  <c r="J42" i="15"/>
  <c r="J37" i="15" s="1"/>
  <c r="N46" i="15"/>
  <c r="I51" i="15"/>
  <c r="N69" i="15"/>
  <c r="E64" i="15"/>
  <c r="I46" i="15"/>
  <c r="C64" i="15"/>
  <c r="O69" i="15"/>
  <c r="O34" i="15"/>
  <c r="G37" i="15"/>
  <c r="O60" i="15"/>
  <c r="N62" i="15"/>
  <c r="G64" i="15"/>
  <c r="N72" i="15"/>
  <c r="F82" i="15"/>
  <c r="O82" i="15" s="1"/>
  <c r="I83" i="15"/>
  <c r="I82" i="15" s="1"/>
  <c r="D7" i="15"/>
  <c r="D6" i="15" s="1"/>
  <c r="C42" i="15"/>
  <c r="K59" i="15"/>
  <c r="I70" i="15"/>
  <c r="N83" i="15"/>
  <c r="I49" i="15"/>
  <c r="J64" i="15"/>
  <c r="F67" i="15"/>
  <c r="N67" i="15" s="1"/>
  <c r="I68" i="15"/>
  <c r="N70" i="15"/>
  <c r="I73" i="15"/>
  <c r="I71" i="15" s="1"/>
  <c r="G7" i="15"/>
  <c r="G6" i="15" s="1"/>
  <c r="G5" i="15" s="1"/>
  <c r="G85" i="15" s="1"/>
  <c r="N63" i="15"/>
  <c r="N73" i="15"/>
  <c r="L64" i="15"/>
  <c r="K64" i="15"/>
  <c r="N71" i="15"/>
  <c r="H64" i="15"/>
  <c r="M64" i="15"/>
  <c r="M42" i="15"/>
  <c r="M37" i="15" s="1"/>
  <c r="H42" i="15"/>
  <c r="N48" i="15"/>
  <c r="E42" i="15"/>
  <c r="N51" i="15"/>
  <c r="N49" i="15"/>
  <c r="I52" i="15"/>
  <c r="E37" i="15"/>
  <c r="N52" i="15"/>
  <c r="I50" i="15"/>
  <c r="F47" i="15"/>
  <c r="N47" i="15" s="1"/>
  <c r="I48" i="15"/>
  <c r="L37" i="15"/>
  <c r="H37" i="15"/>
  <c r="N45" i="15"/>
  <c r="O45" i="15"/>
  <c r="D37" i="15"/>
  <c r="F43" i="15"/>
  <c r="I43" i="15" s="1"/>
  <c r="N44" i="15"/>
  <c r="I44" i="15"/>
  <c r="F39" i="15"/>
  <c r="O39" i="15" s="1"/>
  <c r="L7" i="15"/>
  <c r="L6" i="15" s="1"/>
  <c r="O32" i="15"/>
  <c r="F30" i="15"/>
  <c r="O30" i="15" s="1"/>
  <c r="H7" i="15"/>
  <c r="H6" i="15" s="1"/>
  <c r="F9" i="15"/>
  <c r="N9" i="15" s="1"/>
  <c r="I47" i="15"/>
  <c r="I60" i="15"/>
  <c r="N60" i="15"/>
  <c r="O20" i="15"/>
  <c r="I20" i="15"/>
  <c r="K37" i="15"/>
  <c r="I57" i="15"/>
  <c r="C7" i="15"/>
  <c r="O22" i="15"/>
  <c r="O24" i="15"/>
  <c r="O26" i="15"/>
  <c r="O28" i="15"/>
  <c r="N32" i="15"/>
  <c r="N34" i="15"/>
  <c r="N36" i="15"/>
  <c r="O41" i="15"/>
  <c r="O54" i="15"/>
  <c r="O56" i="15"/>
  <c r="F65" i="15"/>
  <c r="N65" i="15"/>
  <c r="O76" i="15"/>
  <c r="O78" i="15"/>
  <c r="N80" i="15"/>
  <c r="I23" i="15"/>
  <c r="I29" i="15"/>
  <c r="I40" i="15"/>
  <c r="N21" i="15"/>
  <c r="N23" i="15"/>
  <c r="N25" i="15"/>
  <c r="N27" i="15"/>
  <c r="N29" i="15"/>
  <c r="I31" i="15"/>
  <c r="I33" i="15"/>
  <c r="I35" i="15"/>
  <c r="N40" i="15"/>
  <c r="F53" i="15"/>
  <c r="O53" i="15" s="1"/>
  <c r="N55" i="15"/>
  <c r="N57" i="15"/>
  <c r="I66" i="15"/>
  <c r="I65" i="15" s="1"/>
  <c r="N75" i="15"/>
  <c r="N77" i="15"/>
  <c r="I81" i="15"/>
  <c r="I79" i="15" s="1"/>
  <c r="I27" i="15"/>
  <c r="I75" i="15"/>
  <c r="J7" i="15"/>
  <c r="E8" i="15"/>
  <c r="E7" i="15" s="1"/>
  <c r="E6" i="15" s="1"/>
  <c r="O21" i="15"/>
  <c r="O25" i="15"/>
  <c r="N31" i="15"/>
  <c r="N33" i="15"/>
  <c r="N35" i="15"/>
  <c r="O55" i="15"/>
  <c r="J58" i="15"/>
  <c r="E59" i="15"/>
  <c r="E58" i="15" s="1"/>
  <c r="N66" i="15"/>
  <c r="O75" i="15"/>
  <c r="O77" i="15"/>
  <c r="F79" i="15"/>
  <c r="N79" i="15" s="1"/>
  <c r="N81" i="15"/>
  <c r="K7" i="15"/>
  <c r="C58" i="15"/>
  <c r="K58" i="15"/>
  <c r="I24" i="15"/>
  <c r="I26" i="15"/>
  <c r="I28" i="15"/>
  <c r="I41" i="15"/>
  <c r="I54" i="15"/>
  <c r="I56" i="15"/>
  <c r="I76" i="15"/>
  <c r="I78" i="15"/>
  <c r="I22" i="15"/>
  <c r="C38" i="15"/>
  <c r="F84" i="14"/>
  <c r="O84" i="14" s="1"/>
  <c r="F83" i="14"/>
  <c r="O83" i="14" s="1"/>
  <c r="M82" i="14"/>
  <c r="L82" i="14"/>
  <c r="K82" i="14"/>
  <c r="J82" i="14"/>
  <c r="H82" i="14"/>
  <c r="G82" i="14"/>
  <c r="E82" i="14"/>
  <c r="D82" i="14"/>
  <c r="C82" i="14"/>
  <c r="F81" i="14"/>
  <c r="N81" i="14" s="1"/>
  <c r="F80" i="14"/>
  <c r="I80" i="14" s="1"/>
  <c r="M79" i="14"/>
  <c r="L79" i="14"/>
  <c r="K79" i="14"/>
  <c r="J79" i="14"/>
  <c r="H79" i="14"/>
  <c r="G79" i="14"/>
  <c r="E79" i="14"/>
  <c r="D79" i="14"/>
  <c r="C79" i="14"/>
  <c r="F78" i="14"/>
  <c r="N78" i="14" s="1"/>
  <c r="F77" i="14"/>
  <c r="O77" i="14" s="1"/>
  <c r="F76" i="14"/>
  <c r="N76" i="14" s="1"/>
  <c r="F75" i="14"/>
  <c r="M74" i="14"/>
  <c r="L74" i="14"/>
  <c r="K74" i="14"/>
  <c r="J74" i="14"/>
  <c r="H74" i="14"/>
  <c r="G74" i="14"/>
  <c r="E74" i="14"/>
  <c r="D74" i="14"/>
  <c r="C74" i="14"/>
  <c r="F73" i="14"/>
  <c r="O73" i="14" s="1"/>
  <c r="F72" i="14"/>
  <c r="O72" i="14" s="1"/>
  <c r="M71" i="14"/>
  <c r="L71" i="14"/>
  <c r="K71" i="14"/>
  <c r="J71" i="14"/>
  <c r="H71" i="14"/>
  <c r="G71" i="14"/>
  <c r="E71" i="14"/>
  <c r="D71" i="14"/>
  <c r="C71" i="14"/>
  <c r="F70" i="14"/>
  <c r="O70" i="14" s="1"/>
  <c r="F69" i="14"/>
  <c r="O69" i="14" s="1"/>
  <c r="F68" i="14"/>
  <c r="O68" i="14" s="1"/>
  <c r="M67" i="14"/>
  <c r="L67" i="14"/>
  <c r="K67" i="14"/>
  <c r="J67" i="14"/>
  <c r="H67" i="14"/>
  <c r="G67" i="14"/>
  <c r="E67" i="14"/>
  <c r="D67" i="14"/>
  <c r="C67" i="14"/>
  <c r="O66" i="14"/>
  <c r="F66" i="14"/>
  <c r="N66" i="14" s="1"/>
  <c r="M65" i="14"/>
  <c r="L65" i="14"/>
  <c r="K65" i="14"/>
  <c r="J65" i="14"/>
  <c r="H65" i="14"/>
  <c r="G65" i="14"/>
  <c r="F65" i="14"/>
  <c r="E65" i="14"/>
  <c r="D65" i="14"/>
  <c r="C65" i="14"/>
  <c r="I63" i="14"/>
  <c r="F63" i="14"/>
  <c r="O63" i="14" s="1"/>
  <c r="F62" i="14"/>
  <c r="O62" i="14" s="1"/>
  <c r="F61" i="14"/>
  <c r="O61" i="14" s="1"/>
  <c r="M60" i="14"/>
  <c r="M59" i="14" s="1"/>
  <c r="M58" i="14" s="1"/>
  <c r="L60" i="14"/>
  <c r="L59" i="14" s="1"/>
  <c r="L58" i="14" s="1"/>
  <c r="K60" i="14"/>
  <c r="K59" i="14" s="1"/>
  <c r="K58" i="14" s="1"/>
  <c r="J60" i="14"/>
  <c r="J59" i="14" s="1"/>
  <c r="J58" i="14" s="1"/>
  <c r="H60" i="14"/>
  <c r="H59" i="14" s="1"/>
  <c r="H58" i="14" s="1"/>
  <c r="G60" i="14"/>
  <c r="G59" i="14" s="1"/>
  <c r="G58" i="14" s="1"/>
  <c r="E60" i="14"/>
  <c r="E59" i="14" s="1"/>
  <c r="E58" i="14" s="1"/>
  <c r="D60" i="14"/>
  <c r="D59" i="14" s="1"/>
  <c r="C60" i="14"/>
  <c r="C59" i="14" s="1"/>
  <c r="C58" i="14" s="1"/>
  <c r="F57" i="14"/>
  <c r="O57" i="14" s="1"/>
  <c r="F56" i="14"/>
  <c r="N56" i="14" s="1"/>
  <c r="F55" i="14"/>
  <c r="O55" i="14" s="1"/>
  <c r="F54" i="14"/>
  <c r="N54" i="14" s="1"/>
  <c r="M53" i="14"/>
  <c r="L53" i="14"/>
  <c r="K53" i="14"/>
  <c r="J53" i="14"/>
  <c r="H53" i="14"/>
  <c r="G53" i="14"/>
  <c r="E53" i="14"/>
  <c r="D53" i="14"/>
  <c r="C53" i="14"/>
  <c r="F52" i="14"/>
  <c r="O52" i="14" s="1"/>
  <c r="F51" i="14"/>
  <c r="O51" i="14" s="1"/>
  <c r="F50" i="14"/>
  <c r="O50" i="14" s="1"/>
  <c r="F49" i="14"/>
  <c r="O49" i="14" s="1"/>
  <c r="F48" i="14"/>
  <c r="O48" i="14" s="1"/>
  <c r="M47" i="14"/>
  <c r="L47" i="14"/>
  <c r="K47" i="14"/>
  <c r="J47" i="14"/>
  <c r="H47" i="14"/>
  <c r="G47" i="14"/>
  <c r="E47" i="14"/>
  <c r="D47" i="14"/>
  <c r="C47" i="14"/>
  <c r="F46" i="14"/>
  <c r="O46" i="14" s="1"/>
  <c r="F45" i="14"/>
  <c r="O45" i="14" s="1"/>
  <c r="F44" i="14"/>
  <c r="O44" i="14" s="1"/>
  <c r="M43" i="14"/>
  <c r="L43" i="14"/>
  <c r="K43" i="14"/>
  <c r="J43" i="14"/>
  <c r="H43" i="14"/>
  <c r="G43" i="14"/>
  <c r="E43" i="14"/>
  <c r="E42" i="14" s="1"/>
  <c r="D43" i="14"/>
  <c r="C43" i="14"/>
  <c r="G42" i="14"/>
  <c r="F41" i="14"/>
  <c r="N41" i="14" s="1"/>
  <c r="F40" i="14"/>
  <c r="O40" i="14" s="1"/>
  <c r="M39" i="14"/>
  <c r="M38" i="14" s="1"/>
  <c r="L39" i="14"/>
  <c r="L38" i="14" s="1"/>
  <c r="K39" i="14"/>
  <c r="K38" i="14" s="1"/>
  <c r="J39" i="14"/>
  <c r="J38" i="14" s="1"/>
  <c r="H39" i="14"/>
  <c r="H38" i="14" s="1"/>
  <c r="G39" i="14"/>
  <c r="G38" i="14" s="1"/>
  <c r="E39" i="14"/>
  <c r="E38" i="14" s="1"/>
  <c r="E37" i="14" s="1"/>
  <c r="D39" i="14"/>
  <c r="D38" i="14" s="1"/>
  <c r="C39" i="14"/>
  <c r="F36" i="14"/>
  <c r="I36" i="14" s="1"/>
  <c r="F35" i="14"/>
  <c r="I35" i="14" s="1"/>
  <c r="F34" i="14"/>
  <c r="I34" i="14" s="1"/>
  <c r="F33" i="14"/>
  <c r="I33" i="14" s="1"/>
  <c r="F32" i="14"/>
  <c r="I32" i="14" s="1"/>
  <c r="N31" i="14"/>
  <c r="F31" i="14"/>
  <c r="I31" i="14" s="1"/>
  <c r="M30" i="14"/>
  <c r="L30" i="14"/>
  <c r="K30" i="14"/>
  <c r="J30" i="14"/>
  <c r="H30" i="14"/>
  <c r="G30" i="14"/>
  <c r="E30" i="14"/>
  <c r="D30" i="14"/>
  <c r="C30" i="14"/>
  <c r="F29" i="14"/>
  <c r="O29" i="14" s="1"/>
  <c r="F28" i="14"/>
  <c r="N28" i="14" s="1"/>
  <c r="F27" i="14"/>
  <c r="O27" i="14" s="1"/>
  <c r="F26" i="14"/>
  <c r="N26" i="14" s="1"/>
  <c r="F25" i="14"/>
  <c r="O25" i="14" s="1"/>
  <c r="F24" i="14"/>
  <c r="N24" i="14" s="1"/>
  <c r="F23" i="14"/>
  <c r="O23" i="14" s="1"/>
  <c r="F22" i="14"/>
  <c r="N22" i="14" s="1"/>
  <c r="F21" i="14"/>
  <c r="O21" i="14" s="1"/>
  <c r="M20" i="14"/>
  <c r="L20" i="14"/>
  <c r="K20" i="14"/>
  <c r="J20" i="14"/>
  <c r="H20" i="14"/>
  <c r="G20" i="14"/>
  <c r="E20" i="14"/>
  <c r="D20" i="14"/>
  <c r="C20" i="14"/>
  <c r="F19" i="14"/>
  <c r="I19" i="14" s="1"/>
  <c r="F18" i="14"/>
  <c r="O18" i="14" s="1"/>
  <c r="F17" i="14"/>
  <c r="O17" i="14" s="1"/>
  <c r="F16" i="14"/>
  <c r="O16" i="14" s="1"/>
  <c r="F15" i="14"/>
  <c r="I15" i="14" s="1"/>
  <c r="F14" i="14"/>
  <c r="O14" i="14" s="1"/>
  <c r="F13" i="14"/>
  <c r="O13" i="14" s="1"/>
  <c r="F12" i="14"/>
  <c r="O12" i="14" s="1"/>
  <c r="F11" i="14"/>
  <c r="O11" i="14" s="1"/>
  <c r="F10" i="14"/>
  <c r="O10" i="14" s="1"/>
  <c r="M9" i="14"/>
  <c r="M8" i="14" s="1"/>
  <c r="L9" i="14"/>
  <c r="L8" i="14" s="1"/>
  <c r="K9" i="14"/>
  <c r="J9" i="14"/>
  <c r="H9" i="14"/>
  <c r="H8" i="14" s="1"/>
  <c r="G9" i="14"/>
  <c r="G8" i="14" s="1"/>
  <c r="E9" i="14"/>
  <c r="E8" i="14" s="1"/>
  <c r="D9" i="14"/>
  <c r="D8" i="14" s="1"/>
  <c r="D7" i="14" s="1"/>
  <c r="D6" i="14" s="1"/>
  <c r="C9" i="14"/>
  <c r="O47" i="15" l="1"/>
  <c r="G7" i="14"/>
  <c r="G6" i="14" s="1"/>
  <c r="I49" i="14"/>
  <c r="N82" i="15"/>
  <c r="F86" i="17"/>
  <c r="O86" i="17" s="1"/>
  <c r="O5" i="17"/>
  <c r="O86" i="19"/>
  <c r="N86" i="19"/>
  <c r="F43" i="14"/>
  <c r="I43" i="14" s="1"/>
  <c r="I45" i="14"/>
  <c r="C64" i="14"/>
  <c r="I81" i="14"/>
  <c r="I79" i="14" s="1"/>
  <c r="I16" i="14"/>
  <c r="O33" i="14"/>
  <c r="E64" i="14"/>
  <c r="I46" i="14"/>
  <c r="F42" i="15"/>
  <c r="I42" i="15" s="1"/>
  <c r="N46" i="14"/>
  <c r="O35" i="14"/>
  <c r="D5" i="15"/>
  <c r="D85" i="15" s="1"/>
  <c r="I50" i="14"/>
  <c r="I53" i="15"/>
  <c r="O43" i="15"/>
  <c r="O74" i="15"/>
  <c r="N45" i="14"/>
  <c r="N36" i="14"/>
  <c r="O81" i="14"/>
  <c r="O36" i="14"/>
  <c r="D64" i="14"/>
  <c r="H7" i="14"/>
  <c r="H6" i="14" s="1"/>
  <c r="N30" i="15"/>
  <c r="I67" i="15"/>
  <c r="I18" i="14"/>
  <c r="C42" i="14"/>
  <c r="N44" i="14"/>
  <c r="O80" i="14"/>
  <c r="O38" i="16"/>
  <c r="I5" i="16"/>
  <c r="I86" i="16" s="1"/>
  <c r="J86" i="16"/>
  <c r="F5" i="16"/>
  <c r="O6" i="16"/>
  <c r="O42" i="15"/>
  <c r="N42" i="15"/>
  <c r="O67" i="15"/>
  <c r="I9" i="15"/>
  <c r="M5" i="15"/>
  <c r="M85" i="15" s="1"/>
  <c r="L5" i="15"/>
  <c r="L85" i="15" s="1"/>
  <c r="H5" i="15"/>
  <c r="H85" i="15" s="1"/>
  <c r="N43" i="15"/>
  <c r="I39" i="15"/>
  <c r="N39" i="15"/>
  <c r="I30" i="15"/>
  <c r="O9" i="15"/>
  <c r="F38" i="15"/>
  <c r="C37" i="15"/>
  <c r="O65" i="15"/>
  <c r="F64" i="15"/>
  <c r="E5" i="15"/>
  <c r="E85" i="15" s="1"/>
  <c r="F59" i="15"/>
  <c r="J6" i="15"/>
  <c r="F8" i="15"/>
  <c r="O79" i="15"/>
  <c r="K6" i="15"/>
  <c r="I74" i="15"/>
  <c r="F7" i="15"/>
  <c r="O7" i="15" s="1"/>
  <c r="C6" i="15"/>
  <c r="N53" i="15"/>
  <c r="I12" i="14"/>
  <c r="O31" i="14"/>
  <c r="N34" i="14"/>
  <c r="I61" i="14"/>
  <c r="F67" i="14"/>
  <c r="N67" i="14" s="1"/>
  <c r="N68" i="14"/>
  <c r="I72" i="14"/>
  <c r="O34" i="14"/>
  <c r="K42" i="14"/>
  <c r="K37" i="14" s="1"/>
  <c r="N32" i="14"/>
  <c r="L42" i="14"/>
  <c r="L37" i="14" s="1"/>
  <c r="I62" i="14"/>
  <c r="G64" i="14"/>
  <c r="I66" i="14"/>
  <c r="I65" i="14" s="1"/>
  <c r="I69" i="14"/>
  <c r="I73" i="14"/>
  <c r="F9" i="14"/>
  <c r="I9" i="14" s="1"/>
  <c r="I14" i="14"/>
  <c r="F20" i="14"/>
  <c r="N20" i="14" s="1"/>
  <c r="O32" i="14"/>
  <c r="N35" i="14"/>
  <c r="F39" i="14"/>
  <c r="N39" i="14" s="1"/>
  <c r="I44" i="14"/>
  <c r="F47" i="14"/>
  <c r="I47" i="14" s="1"/>
  <c r="I51" i="14"/>
  <c r="N69" i="14"/>
  <c r="F79" i="14"/>
  <c r="N79" i="14" s="1"/>
  <c r="N80" i="14"/>
  <c r="F82" i="14"/>
  <c r="O82" i="14" s="1"/>
  <c r="N83" i="14"/>
  <c r="D42" i="14"/>
  <c r="D37" i="14" s="1"/>
  <c r="F74" i="14"/>
  <c r="N74" i="14" s="1"/>
  <c r="E7" i="14"/>
  <c r="E6" i="14" s="1"/>
  <c r="E5" i="14" s="1"/>
  <c r="E85" i="14" s="1"/>
  <c r="I10" i="14"/>
  <c r="F30" i="14"/>
  <c r="O30" i="14" s="1"/>
  <c r="N33" i="14"/>
  <c r="H42" i="14"/>
  <c r="H37" i="14" s="1"/>
  <c r="I48" i="14"/>
  <c r="I52" i="14"/>
  <c r="N70" i="14"/>
  <c r="I84" i="14"/>
  <c r="G37" i="14"/>
  <c r="G5" i="14" s="1"/>
  <c r="N43" i="14"/>
  <c r="F60" i="14"/>
  <c r="N60" i="14" s="1"/>
  <c r="O65" i="14"/>
  <c r="N84" i="14"/>
  <c r="L64" i="14"/>
  <c r="H64" i="14"/>
  <c r="J64" i="14"/>
  <c r="M64" i="14"/>
  <c r="M42" i="14"/>
  <c r="M37" i="14" s="1"/>
  <c r="M7" i="14"/>
  <c r="M6" i="14" s="1"/>
  <c r="L7" i="14"/>
  <c r="L6" i="14" s="1"/>
  <c r="J8" i="14"/>
  <c r="J7" i="14" s="1"/>
  <c r="J6" i="14" s="1"/>
  <c r="N47" i="14"/>
  <c r="I20" i="14"/>
  <c r="O20" i="14"/>
  <c r="O47" i="14"/>
  <c r="F59" i="14"/>
  <c r="D58" i="14"/>
  <c r="O22" i="14"/>
  <c r="O24" i="14"/>
  <c r="O26" i="14"/>
  <c r="O28" i="14"/>
  <c r="O41" i="14"/>
  <c r="J42" i="14"/>
  <c r="O54" i="14"/>
  <c r="O56" i="14"/>
  <c r="K64" i="14"/>
  <c r="N65" i="14"/>
  <c r="O76" i="14"/>
  <c r="O78" i="14"/>
  <c r="I11" i="14"/>
  <c r="I17" i="14"/>
  <c r="C8" i="14"/>
  <c r="K8" i="14"/>
  <c r="N11" i="14"/>
  <c r="N13" i="14"/>
  <c r="N15" i="14"/>
  <c r="N17" i="14"/>
  <c r="N19" i="14"/>
  <c r="I21" i="14"/>
  <c r="I23" i="14"/>
  <c r="I25" i="14"/>
  <c r="I27" i="14"/>
  <c r="I29" i="14"/>
  <c r="I40" i="14"/>
  <c r="N49" i="14"/>
  <c r="N51" i="14"/>
  <c r="I55" i="14"/>
  <c r="I57" i="14"/>
  <c r="N62" i="14"/>
  <c r="F71" i="14"/>
  <c r="O71" i="14" s="1"/>
  <c r="N73" i="14"/>
  <c r="I75" i="14"/>
  <c r="I77" i="14"/>
  <c r="I13" i="14"/>
  <c r="O15" i="14"/>
  <c r="O19" i="14"/>
  <c r="N21" i="14"/>
  <c r="N23" i="14"/>
  <c r="N25" i="14"/>
  <c r="N27" i="14"/>
  <c r="N29" i="14"/>
  <c r="N40" i="14"/>
  <c r="F53" i="14"/>
  <c r="N53" i="14" s="1"/>
  <c r="N55" i="14"/>
  <c r="N57" i="14"/>
  <c r="N75" i="14"/>
  <c r="N77" i="14"/>
  <c r="I68" i="14"/>
  <c r="I70" i="14"/>
  <c r="O75" i="14"/>
  <c r="I83" i="14"/>
  <c r="I82" i="14" s="1"/>
  <c r="N10" i="14"/>
  <c r="N12" i="14"/>
  <c r="N14" i="14"/>
  <c r="N16" i="14"/>
  <c r="N18" i="14"/>
  <c r="I22" i="14"/>
  <c r="I24" i="14"/>
  <c r="I26" i="14"/>
  <c r="I28" i="14"/>
  <c r="I41" i="14"/>
  <c r="N48" i="14"/>
  <c r="N50" i="14"/>
  <c r="N52" i="14"/>
  <c r="I54" i="14"/>
  <c r="I56" i="14"/>
  <c r="N61" i="14"/>
  <c r="N63" i="14"/>
  <c r="N72" i="14"/>
  <c r="I76" i="14"/>
  <c r="I78" i="14"/>
  <c r="C38" i="14"/>
  <c r="M82" i="13"/>
  <c r="L82" i="13"/>
  <c r="K82" i="13"/>
  <c r="J82" i="13"/>
  <c r="F84" i="13"/>
  <c r="O84" i="13" s="1"/>
  <c r="F83" i="13"/>
  <c r="I83" i="13" s="1"/>
  <c r="H82" i="13"/>
  <c r="G82" i="13"/>
  <c r="E82" i="13"/>
  <c r="D82" i="13"/>
  <c r="C82" i="13"/>
  <c r="M79" i="13"/>
  <c r="L79" i="13"/>
  <c r="K79" i="13"/>
  <c r="J79" i="13"/>
  <c r="F81" i="13"/>
  <c r="I81" i="13" s="1"/>
  <c r="F80" i="13"/>
  <c r="I80" i="13" s="1"/>
  <c r="H79" i="13"/>
  <c r="G79" i="13"/>
  <c r="F79" i="13"/>
  <c r="O79" i="13" s="1"/>
  <c r="E79" i="13"/>
  <c r="D79" i="13"/>
  <c r="C79" i="13"/>
  <c r="M71" i="13"/>
  <c r="L71" i="13"/>
  <c r="K71" i="13"/>
  <c r="J71" i="13"/>
  <c r="F72" i="13"/>
  <c r="I72" i="13" s="1"/>
  <c r="F73" i="13"/>
  <c r="O73" i="13" s="1"/>
  <c r="H71" i="13"/>
  <c r="G71" i="13"/>
  <c r="E71" i="13"/>
  <c r="D71" i="13"/>
  <c r="C71" i="13"/>
  <c r="M67" i="13"/>
  <c r="L67" i="13"/>
  <c r="K67" i="13"/>
  <c r="J67" i="13"/>
  <c r="F68" i="13"/>
  <c r="F67" i="13" s="1"/>
  <c r="N67" i="13" s="1"/>
  <c r="F69" i="13"/>
  <c r="I69" i="13"/>
  <c r="F70" i="13"/>
  <c r="O70" i="13" s="1"/>
  <c r="H67" i="13"/>
  <c r="G67" i="13"/>
  <c r="E67" i="13"/>
  <c r="D67" i="13"/>
  <c r="C67" i="13"/>
  <c r="M65" i="13"/>
  <c r="L65" i="13"/>
  <c r="K65" i="13"/>
  <c r="K64" i="13" s="1"/>
  <c r="J65" i="13"/>
  <c r="J64" i="13" s="1"/>
  <c r="F66" i="13"/>
  <c r="I66" i="13" s="1"/>
  <c r="I65" i="13" s="1"/>
  <c r="H65" i="13"/>
  <c r="H64" i="13" s="1"/>
  <c r="G65" i="13"/>
  <c r="E65" i="13"/>
  <c r="D65" i="13"/>
  <c r="C65" i="13"/>
  <c r="N84" i="13"/>
  <c r="O80" i="13"/>
  <c r="O81" i="13"/>
  <c r="O69" i="13"/>
  <c r="M74" i="13"/>
  <c r="L74" i="13"/>
  <c r="L64" i="13" s="1"/>
  <c r="K74" i="13"/>
  <c r="J74" i="13"/>
  <c r="H74" i="13"/>
  <c r="G74" i="13"/>
  <c r="E74" i="13"/>
  <c r="D74" i="13"/>
  <c r="C74" i="13"/>
  <c r="F75" i="13"/>
  <c r="N75" i="13" s="1"/>
  <c r="I75" i="13"/>
  <c r="F76" i="13"/>
  <c r="O76" i="13" s="1"/>
  <c r="I76" i="13"/>
  <c r="F77" i="13"/>
  <c r="O77" i="13" s="1"/>
  <c r="F78" i="13"/>
  <c r="N78" i="13" s="1"/>
  <c r="I78" i="13"/>
  <c r="N80" i="13"/>
  <c r="N73" i="13"/>
  <c r="N69" i="13"/>
  <c r="N70" i="13"/>
  <c r="N76" i="13"/>
  <c r="O78" i="13"/>
  <c r="F56" i="13"/>
  <c r="N56" i="13" s="1"/>
  <c r="M20" i="13"/>
  <c r="F63" i="13"/>
  <c r="I63" i="13" s="1"/>
  <c r="F62" i="13"/>
  <c r="I62" i="13"/>
  <c r="F61" i="13"/>
  <c r="I61" i="13" s="1"/>
  <c r="M60" i="13"/>
  <c r="L60" i="13"/>
  <c r="L59" i="13" s="1"/>
  <c r="L58" i="13" s="1"/>
  <c r="K60" i="13"/>
  <c r="K59" i="13" s="1"/>
  <c r="J60" i="13"/>
  <c r="J59" i="13"/>
  <c r="H60" i="13"/>
  <c r="H59" i="13" s="1"/>
  <c r="H58" i="13" s="1"/>
  <c r="G60" i="13"/>
  <c r="G59" i="13" s="1"/>
  <c r="G58" i="13" s="1"/>
  <c r="E60" i="13"/>
  <c r="E59" i="13" s="1"/>
  <c r="E58" i="13" s="1"/>
  <c r="D60" i="13"/>
  <c r="D59" i="13" s="1"/>
  <c r="C60" i="13"/>
  <c r="F60" i="13" s="1"/>
  <c r="M59" i="13"/>
  <c r="M58" i="13" s="1"/>
  <c r="F57" i="13"/>
  <c r="N57" i="13"/>
  <c r="F55" i="13"/>
  <c r="N55" i="13" s="1"/>
  <c r="F54" i="13"/>
  <c r="N54" i="13" s="1"/>
  <c r="M53" i="13"/>
  <c r="L53" i="13"/>
  <c r="K53" i="13"/>
  <c r="J53" i="13"/>
  <c r="H53" i="13"/>
  <c r="G53" i="13"/>
  <c r="E53" i="13"/>
  <c r="D53" i="13"/>
  <c r="C53" i="13"/>
  <c r="F52" i="13"/>
  <c r="N52" i="13" s="1"/>
  <c r="F51" i="13"/>
  <c r="I51" i="13" s="1"/>
  <c r="F50" i="13"/>
  <c r="I50" i="13" s="1"/>
  <c r="F49" i="13"/>
  <c r="I49" i="13" s="1"/>
  <c r="F48" i="13"/>
  <c r="I48" i="13" s="1"/>
  <c r="M47" i="13"/>
  <c r="M43" i="13"/>
  <c r="M42" i="13"/>
  <c r="L47" i="13"/>
  <c r="K47" i="13"/>
  <c r="J47" i="13"/>
  <c r="H47" i="13"/>
  <c r="G47" i="13"/>
  <c r="C47" i="13"/>
  <c r="D47" i="13"/>
  <c r="E47" i="13"/>
  <c r="F47" i="13" s="1"/>
  <c r="I47" i="13" s="1"/>
  <c r="F46" i="13"/>
  <c r="N46" i="13" s="1"/>
  <c r="F45" i="13"/>
  <c r="I45" i="13" s="1"/>
  <c r="F44" i="13"/>
  <c r="N44" i="13" s="1"/>
  <c r="L43" i="13"/>
  <c r="L42" i="13" s="1"/>
  <c r="K43" i="13"/>
  <c r="J43" i="13"/>
  <c r="J42" i="13" s="1"/>
  <c r="H43" i="13"/>
  <c r="G43" i="13"/>
  <c r="G42" i="13" s="1"/>
  <c r="E43" i="13"/>
  <c r="E42" i="13" s="1"/>
  <c r="D43" i="13"/>
  <c r="D42" i="13" s="1"/>
  <c r="C43" i="13"/>
  <c r="F43" i="13" s="1"/>
  <c r="I43" i="13" s="1"/>
  <c r="D39" i="13"/>
  <c r="D38" i="13" s="1"/>
  <c r="F41" i="13"/>
  <c r="N41" i="13" s="1"/>
  <c r="O41" i="13"/>
  <c r="F40" i="13"/>
  <c r="N40" i="13" s="1"/>
  <c r="M39" i="13"/>
  <c r="M38" i="13" s="1"/>
  <c r="L39" i="13"/>
  <c r="L38" i="13" s="1"/>
  <c r="K39" i="13"/>
  <c r="J39" i="13"/>
  <c r="H39" i="13"/>
  <c r="G39" i="13"/>
  <c r="G38" i="13" s="1"/>
  <c r="G37" i="13" s="1"/>
  <c r="E39" i="13"/>
  <c r="E38" i="13"/>
  <c r="E37" i="13" s="1"/>
  <c r="C39" i="13"/>
  <c r="C38" i="13" s="1"/>
  <c r="C37" i="13" s="1"/>
  <c r="F39" i="13"/>
  <c r="N39" i="13" s="1"/>
  <c r="H38" i="13"/>
  <c r="H37" i="13" s="1"/>
  <c r="F36" i="13"/>
  <c r="O36" i="13" s="1"/>
  <c r="F35" i="13"/>
  <c r="O35" i="13"/>
  <c r="F34" i="13"/>
  <c r="O34" i="13"/>
  <c r="F33" i="13"/>
  <c r="O33" i="13"/>
  <c r="F32" i="13"/>
  <c r="N32" i="13" s="1"/>
  <c r="F31" i="13"/>
  <c r="O31" i="13" s="1"/>
  <c r="M30" i="13"/>
  <c r="L30" i="13"/>
  <c r="K30" i="13"/>
  <c r="J30" i="13"/>
  <c r="H30" i="13"/>
  <c r="G30" i="13"/>
  <c r="C30" i="13"/>
  <c r="D30" i="13"/>
  <c r="E30" i="13"/>
  <c r="F29" i="13"/>
  <c r="N29" i="13" s="1"/>
  <c r="F28" i="13"/>
  <c r="I28" i="13" s="1"/>
  <c r="F27" i="13"/>
  <c r="O27" i="13" s="1"/>
  <c r="F26" i="13"/>
  <c r="O26" i="13" s="1"/>
  <c r="F25" i="13"/>
  <c r="O25" i="13" s="1"/>
  <c r="F24" i="13"/>
  <c r="O24" i="13" s="1"/>
  <c r="F23" i="13"/>
  <c r="O23" i="13"/>
  <c r="F22" i="13"/>
  <c r="I22" i="13" s="1"/>
  <c r="F21" i="13"/>
  <c r="O21" i="13" s="1"/>
  <c r="L20" i="13"/>
  <c r="K20" i="13"/>
  <c r="K7" i="13" s="1"/>
  <c r="K6" i="13" s="1"/>
  <c r="J20" i="13"/>
  <c r="H20" i="13"/>
  <c r="G20" i="13"/>
  <c r="E20" i="13"/>
  <c r="D20" i="13"/>
  <c r="C20" i="13"/>
  <c r="F19" i="13"/>
  <c r="I19" i="13" s="1"/>
  <c r="F18" i="13"/>
  <c r="I18" i="13" s="1"/>
  <c r="F17" i="13"/>
  <c r="I17" i="13"/>
  <c r="F16" i="13"/>
  <c r="I16" i="13"/>
  <c r="F15" i="13"/>
  <c r="I15" i="13" s="1"/>
  <c r="F14" i="13"/>
  <c r="I14" i="13" s="1"/>
  <c r="F13" i="13"/>
  <c r="I13" i="13" s="1"/>
  <c r="F12" i="13"/>
  <c r="O12" i="13" s="1"/>
  <c r="F11" i="13"/>
  <c r="I11" i="13"/>
  <c r="F10" i="13"/>
  <c r="I10" i="13"/>
  <c r="M9" i="13"/>
  <c r="M8" i="13" s="1"/>
  <c r="L9" i="13"/>
  <c r="L8" i="13" s="1"/>
  <c r="L7" i="13" s="1"/>
  <c r="L6" i="13" s="1"/>
  <c r="K9" i="13"/>
  <c r="J9" i="13"/>
  <c r="H9" i="13"/>
  <c r="H8" i="13"/>
  <c r="G9" i="13"/>
  <c r="G8" i="13" s="1"/>
  <c r="G7" i="13" s="1"/>
  <c r="G6" i="13" s="1"/>
  <c r="C9" i="13"/>
  <c r="C8" i="13" s="1"/>
  <c r="D9" i="13"/>
  <c r="E9" i="13"/>
  <c r="K8" i="13"/>
  <c r="E8" i="13"/>
  <c r="D8" i="13"/>
  <c r="D7" i="13" s="1"/>
  <c r="D6" i="13" s="1"/>
  <c r="N22" i="13"/>
  <c r="O22" i="13"/>
  <c r="I24" i="13"/>
  <c r="O57" i="13"/>
  <c r="N24" i="13"/>
  <c r="N61" i="13"/>
  <c r="O19" i="13"/>
  <c r="I41" i="13"/>
  <c r="O61" i="13"/>
  <c r="N19" i="13"/>
  <c r="N11" i="13"/>
  <c r="I23" i="13"/>
  <c r="I25" i="13"/>
  <c r="I29" i="13"/>
  <c r="O11" i="13"/>
  <c r="N21" i="13"/>
  <c r="N23" i="13"/>
  <c r="I33" i="13"/>
  <c r="O17" i="13"/>
  <c r="I54" i="13"/>
  <c r="O54" i="13"/>
  <c r="I57" i="13"/>
  <c r="N34" i="13"/>
  <c r="N13" i="13"/>
  <c r="N17" i="13"/>
  <c r="I35" i="13"/>
  <c r="I34" i="13"/>
  <c r="H42" i="13"/>
  <c r="N49" i="13"/>
  <c r="O49" i="13"/>
  <c r="N36" i="13"/>
  <c r="I36" i="13"/>
  <c r="J58" i="13"/>
  <c r="N10" i="13"/>
  <c r="N16" i="13"/>
  <c r="J38" i="13"/>
  <c r="O46" i="13"/>
  <c r="N48" i="13"/>
  <c r="N50" i="13"/>
  <c r="C59" i="13"/>
  <c r="N62" i="13"/>
  <c r="N33" i="13"/>
  <c r="I46" i="13"/>
  <c r="O10" i="13"/>
  <c r="O16" i="13"/>
  <c r="O18" i="13"/>
  <c r="K38" i="13"/>
  <c r="O48" i="13"/>
  <c r="O50" i="13"/>
  <c r="O62" i="13"/>
  <c r="C42" i="13"/>
  <c r="N35" i="13"/>
  <c r="M9" i="12"/>
  <c r="M8" i="12" s="1"/>
  <c r="M20" i="12"/>
  <c r="M30" i="12"/>
  <c r="M39" i="12"/>
  <c r="M38" i="12" s="1"/>
  <c r="M43" i="12"/>
  <c r="M47" i="12"/>
  <c r="M53" i="12"/>
  <c r="M59" i="12"/>
  <c r="M58" i="12" s="1"/>
  <c r="M57" i="12" s="1"/>
  <c r="L9" i="12"/>
  <c r="L8" i="12" s="1"/>
  <c r="L20" i="12"/>
  <c r="L30" i="12"/>
  <c r="L39" i="12"/>
  <c r="L38" i="12" s="1"/>
  <c r="L43" i="12"/>
  <c r="L47" i="12"/>
  <c r="L53" i="12"/>
  <c r="L59" i="12"/>
  <c r="L58" i="12" s="1"/>
  <c r="L57" i="12" s="1"/>
  <c r="K9" i="12"/>
  <c r="O9" i="12" s="1"/>
  <c r="K20" i="12"/>
  <c r="K30" i="12"/>
  <c r="K39" i="12"/>
  <c r="K38" i="12" s="1"/>
  <c r="K43" i="12"/>
  <c r="K42" i="12" s="1"/>
  <c r="K47" i="12"/>
  <c r="K53" i="12"/>
  <c r="K59" i="12"/>
  <c r="K58" i="12" s="1"/>
  <c r="J9" i="12"/>
  <c r="N9" i="12" s="1"/>
  <c r="J20" i="12"/>
  <c r="N20" i="12" s="1"/>
  <c r="J30" i="12"/>
  <c r="J39" i="12"/>
  <c r="J38" i="12" s="1"/>
  <c r="J43" i="12"/>
  <c r="J42" i="12" s="1"/>
  <c r="J47" i="12"/>
  <c r="J53" i="12"/>
  <c r="J59" i="12"/>
  <c r="J58" i="12" s="1"/>
  <c r="C9" i="12"/>
  <c r="C8" i="12"/>
  <c r="C20" i="12"/>
  <c r="C30" i="12"/>
  <c r="F30" i="12" s="1"/>
  <c r="D9" i="12"/>
  <c r="D8" i="12"/>
  <c r="D7" i="12" s="1"/>
  <c r="D6" i="12" s="1"/>
  <c r="D20" i="12"/>
  <c r="D30" i="12"/>
  <c r="E9" i="12"/>
  <c r="E8" i="12" s="1"/>
  <c r="E7" i="12" s="1"/>
  <c r="E6" i="12" s="1"/>
  <c r="E20" i="12"/>
  <c r="E30" i="12"/>
  <c r="G9" i="12"/>
  <c r="G8" i="12" s="1"/>
  <c r="G20" i="12"/>
  <c r="G30" i="12"/>
  <c r="H9" i="12"/>
  <c r="H8" i="12" s="1"/>
  <c r="H20" i="12"/>
  <c r="H30" i="12"/>
  <c r="F36" i="12"/>
  <c r="I36" i="12" s="1"/>
  <c r="C39" i="12"/>
  <c r="C38" i="12" s="1"/>
  <c r="D39" i="12"/>
  <c r="D38" i="12" s="1"/>
  <c r="E39" i="12"/>
  <c r="E38" i="12" s="1"/>
  <c r="G39" i="12"/>
  <c r="G38" i="12" s="1"/>
  <c r="H39" i="12"/>
  <c r="H38" i="12" s="1"/>
  <c r="C43" i="12"/>
  <c r="C47" i="12"/>
  <c r="C42" i="12"/>
  <c r="D43" i="12"/>
  <c r="D47" i="12"/>
  <c r="F47" i="12" s="1"/>
  <c r="E43" i="12"/>
  <c r="E42" i="12" s="1"/>
  <c r="E47" i="12"/>
  <c r="G43" i="12"/>
  <c r="G42" i="12" s="1"/>
  <c r="G47" i="12"/>
  <c r="H43" i="12"/>
  <c r="H47" i="12"/>
  <c r="F54" i="12"/>
  <c r="O54" i="12" s="1"/>
  <c r="F55" i="12"/>
  <c r="O55" i="12" s="1"/>
  <c r="F56" i="12"/>
  <c r="I56" i="12" s="1"/>
  <c r="C59" i="12"/>
  <c r="C58" i="12" s="1"/>
  <c r="D59" i="12"/>
  <c r="D58" i="12" s="1"/>
  <c r="D57" i="12" s="1"/>
  <c r="E59" i="12"/>
  <c r="E58" i="12" s="1"/>
  <c r="E57" i="12" s="1"/>
  <c r="G59" i="12"/>
  <c r="G58" i="12" s="1"/>
  <c r="G57" i="12" s="1"/>
  <c r="H59" i="12"/>
  <c r="H58" i="12" s="1"/>
  <c r="H57" i="12" s="1"/>
  <c r="F62" i="12"/>
  <c r="I62" i="12"/>
  <c r="H53" i="12"/>
  <c r="G53" i="12"/>
  <c r="E53" i="12"/>
  <c r="D53" i="12"/>
  <c r="C53" i="12"/>
  <c r="M63" i="12"/>
  <c r="L63" i="12"/>
  <c r="K63" i="12"/>
  <c r="J63" i="12"/>
  <c r="F64" i="12"/>
  <c r="I64" i="12" s="1"/>
  <c r="F65" i="12"/>
  <c r="O65" i="12" s="1"/>
  <c r="F66" i="12"/>
  <c r="O66" i="12" s="1"/>
  <c r="F67" i="12"/>
  <c r="I67" i="12" s="1"/>
  <c r="F68" i="12"/>
  <c r="I68" i="12" s="1"/>
  <c r="F69" i="12"/>
  <c r="I69" i="12" s="1"/>
  <c r="H63" i="12"/>
  <c r="G63" i="12"/>
  <c r="E63" i="12"/>
  <c r="D63" i="12"/>
  <c r="C63" i="12"/>
  <c r="F59" i="12"/>
  <c r="O59" i="12" s="1"/>
  <c r="F60" i="12"/>
  <c r="O60" i="12" s="1"/>
  <c r="N54" i="12"/>
  <c r="F41" i="12"/>
  <c r="O41" i="12" s="1"/>
  <c r="I41" i="12"/>
  <c r="F20" i="12"/>
  <c r="F17" i="12"/>
  <c r="I17" i="12" s="1"/>
  <c r="F16" i="12"/>
  <c r="N16" i="12" s="1"/>
  <c r="I16" i="12"/>
  <c r="F15" i="12"/>
  <c r="N15" i="12" s="1"/>
  <c r="O15" i="12"/>
  <c r="F14" i="12"/>
  <c r="I14" i="12" s="1"/>
  <c r="F13" i="12"/>
  <c r="N13" i="12" s="1"/>
  <c r="F12" i="12"/>
  <c r="N12" i="12" s="1"/>
  <c r="O12" i="12"/>
  <c r="F11" i="12"/>
  <c r="I11" i="12" s="1"/>
  <c r="F10" i="12"/>
  <c r="O10" i="12" s="1"/>
  <c r="O69" i="12"/>
  <c r="N69" i="12"/>
  <c r="O68" i="12"/>
  <c r="N68" i="12"/>
  <c r="O67" i="12"/>
  <c r="N67" i="12"/>
  <c r="O62" i="12"/>
  <c r="N62" i="12"/>
  <c r="F61" i="12"/>
  <c r="O61" i="12" s="1"/>
  <c r="N61" i="12"/>
  <c r="F52" i="12"/>
  <c r="O52" i="12" s="1"/>
  <c r="F51" i="12"/>
  <c r="N51" i="12" s="1"/>
  <c r="O51" i="12"/>
  <c r="I51" i="12"/>
  <c r="F50" i="12"/>
  <c r="N50" i="12" s="1"/>
  <c r="O50" i="12"/>
  <c r="I50" i="12"/>
  <c r="F49" i="12"/>
  <c r="O49" i="12" s="1"/>
  <c r="F48" i="12"/>
  <c r="I48" i="12" s="1"/>
  <c r="F46" i="12"/>
  <c r="O46" i="12" s="1"/>
  <c r="F45" i="12"/>
  <c r="O45" i="12" s="1"/>
  <c r="N45" i="12"/>
  <c r="I45" i="12"/>
  <c r="F44" i="12"/>
  <c r="I44" i="12" s="1"/>
  <c r="F40" i="12"/>
  <c r="O40" i="12" s="1"/>
  <c r="O36" i="12"/>
  <c r="F35" i="12"/>
  <c r="O35" i="12" s="1"/>
  <c r="F34" i="12"/>
  <c r="N34" i="12" s="1"/>
  <c r="F33" i="12"/>
  <c r="O33" i="12" s="1"/>
  <c r="F32" i="12"/>
  <c r="O32" i="12" s="1"/>
  <c r="F31" i="12"/>
  <c r="N31" i="12" s="1"/>
  <c r="F29" i="12"/>
  <c r="O29" i="12" s="1"/>
  <c r="F28" i="12"/>
  <c r="N28" i="12" s="1"/>
  <c r="F27" i="12"/>
  <c r="N27" i="12" s="1"/>
  <c r="O27" i="12"/>
  <c r="F26" i="12"/>
  <c r="O26" i="12" s="1"/>
  <c r="F25" i="12"/>
  <c r="N25" i="12" s="1"/>
  <c r="I25" i="12"/>
  <c r="F24" i="12"/>
  <c r="N24" i="12" s="1"/>
  <c r="O24" i="12"/>
  <c r="F23" i="12"/>
  <c r="O23" i="12" s="1"/>
  <c r="F22" i="12"/>
  <c r="N22" i="12" s="1"/>
  <c r="I22" i="12"/>
  <c r="F21" i="12"/>
  <c r="N21" i="12" s="1"/>
  <c r="O21" i="12"/>
  <c r="O20" i="12"/>
  <c r="F19" i="12"/>
  <c r="O19" i="12" s="1"/>
  <c r="F18" i="12"/>
  <c r="I18" i="12" s="1"/>
  <c r="F9" i="12"/>
  <c r="I9" i="12" s="1"/>
  <c r="C58" i="13"/>
  <c r="D58" i="13" l="1"/>
  <c r="F59" i="13"/>
  <c r="F58" i="13" s="1"/>
  <c r="N58" i="13" s="1"/>
  <c r="O47" i="12"/>
  <c r="N47" i="12"/>
  <c r="O53" i="12"/>
  <c r="N47" i="13"/>
  <c r="I71" i="13"/>
  <c r="N60" i="13"/>
  <c r="O60" i="13"/>
  <c r="I28" i="12"/>
  <c r="N44" i="12"/>
  <c r="N48" i="12"/>
  <c r="I13" i="12"/>
  <c r="N60" i="12"/>
  <c r="N25" i="13"/>
  <c r="O28" i="13"/>
  <c r="I40" i="13"/>
  <c r="I77" i="13"/>
  <c r="I74" i="13" s="1"/>
  <c r="N77" i="13"/>
  <c r="I70" i="13"/>
  <c r="F71" i="13"/>
  <c r="H7" i="12"/>
  <c r="H6" i="12" s="1"/>
  <c r="I19" i="12"/>
  <c r="I24" i="12"/>
  <c r="O28" i="12"/>
  <c r="O34" i="12"/>
  <c r="O44" i="12"/>
  <c r="O48" i="12"/>
  <c r="I61" i="12"/>
  <c r="O13" i="12"/>
  <c r="I60" i="12"/>
  <c r="I66" i="12"/>
  <c r="F53" i="12"/>
  <c r="N53" i="12" s="1"/>
  <c r="E37" i="12"/>
  <c r="E5" i="12" s="1"/>
  <c r="E70" i="12" s="1"/>
  <c r="K8" i="12"/>
  <c r="K7" i="12" s="1"/>
  <c r="K6" i="12" s="1"/>
  <c r="N28" i="13"/>
  <c r="G64" i="13"/>
  <c r="N29" i="12"/>
  <c r="I35" i="12"/>
  <c r="N14" i="12"/>
  <c r="I55" i="12"/>
  <c r="D42" i="12"/>
  <c r="F42" i="12" s="1"/>
  <c r="J8" i="12"/>
  <c r="J7" i="12" s="1"/>
  <c r="M42" i="12"/>
  <c r="M37" i="12" s="1"/>
  <c r="I73" i="13"/>
  <c r="I21" i="12"/>
  <c r="O25" i="12"/>
  <c r="O31" i="12"/>
  <c r="N36" i="12"/>
  <c r="I10" i="12"/>
  <c r="I15" i="12"/>
  <c r="I54" i="12"/>
  <c r="I53" i="12" s="1"/>
  <c r="J37" i="13"/>
  <c r="I27" i="13"/>
  <c r="N15" i="13"/>
  <c r="O29" i="13"/>
  <c r="N72" i="13"/>
  <c r="O72" i="13"/>
  <c r="I79" i="13"/>
  <c r="F43" i="12"/>
  <c r="I20" i="12"/>
  <c r="C7" i="12"/>
  <c r="O47" i="13"/>
  <c r="N26" i="12"/>
  <c r="I32" i="12"/>
  <c r="I40" i="12"/>
  <c r="N64" i="12"/>
  <c r="N11" i="12"/>
  <c r="H42" i="12"/>
  <c r="G7" i="12"/>
  <c r="G6" i="12" s="1"/>
  <c r="L42" i="12"/>
  <c r="N14" i="13"/>
  <c r="O63" i="13"/>
  <c r="O15" i="13"/>
  <c r="E7" i="13"/>
  <c r="E6" i="13" s="1"/>
  <c r="M7" i="13"/>
  <c r="M6" i="13" s="1"/>
  <c r="M5" i="13" s="1"/>
  <c r="M85" i="13" s="1"/>
  <c r="F30" i="13"/>
  <c r="O56" i="13"/>
  <c r="N81" i="13"/>
  <c r="N79" i="13"/>
  <c r="N30" i="14"/>
  <c r="D5" i="14"/>
  <c r="D85" i="14" s="1"/>
  <c r="I64" i="15"/>
  <c r="O64" i="12"/>
  <c r="N55" i="12"/>
  <c r="G37" i="12"/>
  <c r="O14" i="13"/>
  <c r="O13" i="13"/>
  <c r="I21" i="13"/>
  <c r="F74" i="13"/>
  <c r="N74" i="13" s="1"/>
  <c r="G85" i="14"/>
  <c r="O79" i="14"/>
  <c r="O43" i="14"/>
  <c r="H7" i="13"/>
  <c r="H6" i="13" s="1"/>
  <c r="H5" i="13" s="1"/>
  <c r="H85" i="13" s="1"/>
  <c r="O22" i="12"/>
  <c r="I27" i="12"/>
  <c r="I33" i="12"/>
  <c r="N41" i="12"/>
  <c r="N66" i="12"/>
  <c r="I12" i="12"/>
  <c r="O16" i="12"/>
  <c r="M7" i="12"/>
  <c r="M6" i="12" s="1"/>
  <c r="M5" i="12" s="1"/>
  <c r="M70" i="12" s="1"/>
  <c r="O39" i="13"/>
  <c r="O75" i="13"/>
  <c r="C64" i="13"/>
  <c r="N33" i="12"/>
  <c r="N56" i="12"/>
  <c r="N63" i="13"/>
  <c r="O40" i="13"/>
  <c r="F20" i="13"/>
  <c r="O20" i="13" s="1"/>
  <c r="L37" i="13"/>
  <c r="L5" i="13" s="1"/>
  <c r="L85" i="13" s="1"/>
  <c r="D64" i="13"/>
  <c r="M64" i="13"/>
  <c r="O18" i="12"/>
  <c r="N23" i="12"/>
  <c r="N17" i="12"/>
  <c r="O56" i="12"/>
  <c r="L7" i="12"/>
  <c r="L6" i="12" s="1"/>
  <c r="N27" i="13"/>
  <c r="M37" i="13"/>
  <c r="E64" i="13"/>
  <c r="N86" i="17"/>
  <c r="N43" i="12"/>
  <c r="I43" i="12"/>
  <c r="O43" i="12"/>
  <c r="C6" i="12"/>
  <c r="F7" i="12"/>
  <c r="O7" i="12" s="1"/>
  <c r="O67" i="13"/>
  <c r="H37" i="12"/>
  <c r="H5" i="12" s="1"/>
  <c r="H70" i="12" s="1"/>
  <c r="G5" i="12"/>
  <c r="G70" i="12" s="1"/>
  <c r="E5" i="13"/>
  <c r="N30" i="13"/>
  <c r="O30" i="13"/>
  <c r="I30" i="13"/>
  <c r="F42" i="13"/>
  <c r="O30" i="12"/>
  <c r="N30" i="12"/>
  <c r="I30" i="12"/>
  <c r="J57" i="12"/>
  <c r="L37" i="12"/>
  <c r="L5" i="12" s="1"/>
  <c r="L70" i="12" s="1"/>
  <c r="K58" i="13"/>
  <c r="O58" i="13" s="1"/>
  <c r="O59" i="13"/>
  <c r="I20" i="13"/>
  <c r="N20" i="13"/>
  <c r="K37" i="12"/>
  <c r="F58" i="12"/>
  <c r="N58" i="12" s="1"/>
  <c r="F38" i="12"/>
  <c r="O38" i="12" s="1"/>
  <c r="C37" i="12"/>
  <c r="J37" i="12"/>
  <c r="F8" i="13"/>
  <c r="C7" i="13"/>
  <c r="F38" i="13"/>
  <c r="D37" i="13"/>
  <c r="D5" i="13" s="1"/>
  <c r="K57" i="12"/>
  <c r="G5" i="13"/>
  <c r="G85" i="13" s="1"/>
  <c r="I63" i="12"/>
  <c r="J6" i="12"/>
  <c r="N7" i="12"/>
  <c r="I59" i="13"/>
  <c r="I58" i="13" s="1"/>
  <c r="F39" i="12"/>
  <c r="I47" i="12"/>
  <c r="O11" i="12"/>
  <c r="O14" i="12"/>
  <c r="O17" i="12"/>
  <c r="F63" i="12"/>
  <c r="O52" i="13"/>
  <c r="N18" i="13"/>
  <c r="I55" i="13"/>
  <c r="O32" i="13"/>
  <c r="I39" i="13"/>
  <c r="N45" i="13"/>
  <c r="I52" i="13"/>
  <c r="I60" i="13"/>
  <c r="N83" i="13"/>
  <c r="O83" i="13"/>
  <c r="I84" i="13"/>
  <c r="I82" i="13" s="1"/>
  <c r="N19" i="12"/>
  <c r="N32" i="12"/>
  <c r="N35" i="12"/>
  <c r="N40" i="12"/>
  <c r="O65" i="13"/>
  <c r="N26" i="13"/>
  <c r="I39" i="14"/>
  <c r="I23" i="12"/>
  <c r="I26" i="12"/>
  <c r="I29" i="12"/>
  <c r="I59" i="12"/>
  <c r="I65" i="12"/>
  <c r="N12" i="13"/>
  <c r="I32" i="13"/>
  <c r="F53" i="13"/>
  <c r="O45" i="13"/>
  <c r="I26" i="13"/>
  <c r="F9" i="13"/>
  <c r="J8" i="13"/>
  <c r="I12" i="13"/>
  <c r="I56" i="13"/>
  <c r="N66" i="13"/>
  <c r="I68" i="13"/>
  <c r="C57" i="12"/>
  <c r="O66" i="13"/>
  <c r="N31" i="13"/>
  <c r="N18" i="12"/>
  <c r="I44" i="13"/>
  <c r="K42" i="13"/>
  <c r="N68" i="13"/>
  <c r="O68" i="13"/>
  <c r="O60" i="14"/>
  <c r="O74" i="14"/>
  <c r="O51" i="13"/>
  <c r="F65" i="13"/>
  <c r="F82" i="13"/>
  <c r="I60" i="14"/>
  <c r="H5" i="14"/>
  <c r="H85" i="14" s="1"/>
  <c r="O74" i="13"/>
  <c r="O39" i="14"/>
  <c r="N8" i="12"/>
  <c r="N10" i="12"/>
  <c r="O55" i="13"/>
  <c r="N59" i="13"/>
  <c r="F8" i="12"/>
  <c r="I46" i="12"/>
  <c r="I49" i="12"/>
  <c r="I52" i="12"/>
  <c r="N65" i="12"/>
  <c r="N43" i="13"/>
  <c r="I31" i="12"/>
  <c r="I34" i="12"/>
  <c r="N46" i="12"/>
  <c r="N49" i="12"/>
  <c r="N52" i="12"/>
  <c r="N59" i="12"/>
  <c r="O43" i="13"/>
  <c r="N51" i="13"/>
  <c r="F64" i="14"/>
  <c r="N64" i="14" s="1"/>
  <c r="O44" i="13"/>
  <c r="I31" i="13"/>
  <c r="F86" i="16"/>
  <c r="O86" i="16" s="1"/>
  <c r="O5" i="16"/>
  <c r="N5" i="16"/>
  <c r="N7" i="15"/>
  <c r="C5" i="15"/>
  <c r="C85" i="15" s="1"/>
  <c r="I8" i="15"/>
  <c r="N8" i="15"/>
  <c r="O8" i="15"/>
  <c r="I59" i="15"/>
  <c r="I58" i="15" s="1"/>
  <c r="F58" i="15"/>
  <c r="N59" i="15"/>
  <c r="O59" i="15"/>
  <c r="N64" i="15"/>
  <c r="O64" i="15"/>
  <c r="I7" i="15"/>
  <c r="I6" i="15" s="1"/>
  <c r="F6" i="15"/>
  <c r="O6" i="15" s="1"/>
  <c r="J5" i="15"/>
  <c r="K5" i="15"/>
  <c r="N38" i="15"/>
  <c r="I38" i="15"/>
  <c r="I37" i="15" s="1"/>
  <c r="F37" i="15"/>
  <c r="O38" i="15"/>
  <c r="I30" i="14"/>
  <c r="O9" i="14"/>
  <c r="F42" i="14"/>
  <c r="I42" i="14" s="1"/>
  <c r="I71" i="14"/>
  <c r="N82" i="14"/>
  <c r="O67" i="14"/>
  <c r="N9" i="14"/>
  <c r="L5" i="14"/>
  <c r="L85" i="14" s="1"/>
  <c r="M5" i="14"/>
  <c r="M85" i="14" s="1"/>
  <c r="J37" i="14"/>
  <c r="J5" i="14" s="1"/>
  <c r="O53" i="14"/>
  <c r="F38" i="14"/>
  <c r="C37" i="14"/>
  <c r="I67" i="14"/>
  <c r="I74" i="14"/>
  <c r="N71" i="14"/>
  <c r="N59" i="14"/>
  <c r="I59" i="14"/>
  <c r="I58" i="14" s="1"/>
  <c r="F58" i="14"/>
  <c r="O59" i="14"/>
  <c r="I53" i="14"/>
  <c r="F8" i="14"/>
  <c r="O8" i="14" s="1"/>
  <c r="C7" i="14"/>
  <c r="K7" i="14"/>
  <c r="I42" i="12" l="1"/>
  <c r="O42" i="12"/>
  <c r="N42" i="12"/>
  <c r="O64" i="14"/>
  <c r="D85" i="13"/>
  <c r="I67" i="13"/>
  <c r="I64" i="13" s="1"/>
  <c r="E85" i="13"/>
  <c r="D37" i="12"/>
  <c r="D5" i="12" s="1"/>
  <c r="D70" i="12" s="1"/>
  <c r="O71" i="13"/>
  <c r="N71" i="13"/>
  <c r="N8" i="13"/>
  <c r="J7" i="13"/>
  <c r="O9" i="13"/>
  <c r="I9" i="13"/>
  <c r="O42" i="13"/>
  <c r="K37" i="13"/>
  <c r="O58" i="12"/>
  <c r="I53" i="13"/>
  <c r="N57" i="12"/>
  <c r="N9" i="13"/>
  <c r="N39" i="12"/>
  <c r="O39" i="12"/>
  <c r="I39" i="12"/>
  <c r="N53" i="13"/>
  <c r="O53" i="13"/>
  <c r="J5" i="12"/>
  <c r="N38" i="13"/>
  <c r="O38" i="13"/>
  <c r="I38" i="13"/>
  <c r="I37" i="13" s="1"/>
  <c r="F37" i="13"/>
  <c r="N37" i="13" s="1"/>
  <c r="F7" i="13"/>
  <c r="C6" i="13"/>
  <c r="C5" i="13" s="1"/>
  <c r="C85" i="13" s="1"/>
  <c r="F6" i="12"/>
  <c r="N6" i="12" s="1"/>
  <c r="I7" i="12"/>
  <c r="I6" i="12" s="1"/>
  <c r="F37" i="12"/>
  <c r="N37" i="12" s="1"/>
  <c r="I38" i="12"/>
  <c r="I58" i="12"/>
  <c r="I57" i="12" s="1"/>
  <c r="F57" i="12"/>
  <c r="O57" i="12" s="1"/>
  <c r="O42" i="14"/>
  <c r="N63" i="12"/>
  <c r="O63" i="12"/>
  <c r="O8" i="13"/>
  <c r="I8" i="13"/>
  <c r="C5" i="12"/>
  <c r="C70" i="12" s="1"/>
  <c r="N42" i="14"/>
  <c r="N82" i="13"/>
  <c r="O82" i="13"/>
  <c r="N42" i="13"/>
  <c r="I42" i="13"/>
  <c r="N65" i="13"/>
  <c r="F64" i="13"/>
  <c r="N38" i="12"/>
  <c r="K5" i="12"/>
  <c r="O8" i="12"/>
  <c r="I8" i="12"/>
  <c r="N86" i="16"/>
  <c r="N6" i="15"/>
  <c r="K85" i="15"/>
  <c r="J85" i="15"/>
  <c r="F5" i="15"/>
  <c r="F85" i="15" s="1"/>
  <c r="O58" i="15"/>
  <c r="N58" i="15"/>
  <c r="N37" i="15"/>
  <c r="O37" i="15"/>
  <c r="I5" i="15"/>
  <c r="I85" i="15" s="1"/>
  <c r="I64" i="14"/>
  <c r="C6" i="14"/>
  <c r="C5" i="14" s="1"/>
  <c r="C85" i="14" s="1"/>
  <c r="C89" i="14" s="1"/>
  <c r="F7" i="14"/>
  <c r="O7" i="14" s="1"/>
  <c r="N8" i="14"/>
  <c r="I8" i="14"/>
  <c r="N58" i="14"/>
  <c r="O58" i="14"/>
  <c r="J85" i="14"/>
  <c r="K6" i="14"/>
  <c r="I38" i="14"/>
  <c r="I37" i="14" s="1"/>
  <c r="F37" i="14"/>
  <c r="O37" i="14" s="1"/>
  <c r="O38" i="14"/>
  <c r="N38" i="14"/>
  <c r="O37" i="12" l="1"/>
  <c r="I37" i="12"/>
  <c r="K70" i="12"/>
  <c r="O37" i="13"/>
  <c r="K5" i="13"/>
  <c r="F6" i="13"/>
  <c r="I7" i="13"/>
  <c r="I6" i="13" s="1"/>
  <c r="I5" i="13" s="1"/>
  <c r="I85" i="13" s="1"/>
  <c r="O7" i="13"/>
  <c r="J70" i="12"/>
  <c r="I5" i="12"/>
  <c r="I70" i="12" s="1"/>
  <c r="F5" i="12"/>
  <c r="F70" i="12" s="1"/>
  <c r="O6" i="12"/>
  <c r="N7" i="13"/>
  <c r="J6" i="13"/>
  <c r="O64" i="13"/>
  <c r="N64" i="13"/>
  <c r="N5" i="15"/>
  <c r="O85" i="15"/>
  <c r="N85" i="15"/>
  <c r="O5" i="15"/>
  <c r="I7" i="14"/>
  <c r="I6" i="14" s="1"/>
  <c r="I5" i="14" s="1"/>
  <c r="I85" i="14" s="1"/>
  <c r="F6" i="14"/>
  <c r="O6" i="14" s="1"/>
  <c r="N7" i="14"/>
  <c r="K5" i="14"/>
  <c r="N37" i="14"/>
  <c r="N5" i="12" l="1"/>
  <c r="N70" i="12"/>
  <c r="F5" i="13"/>
  <c r="F85" i="13" s="1"/>
  <c r="O6" i="13"/>
  <c r="O5" i="12"/>
  <c r="O5" i="13"/>
  <c r="K85" i="13"/>
  <c r="O85" i="13" s="1"/>
  <c r="J5" i="13"/>
  <c r="N6" i="13"/>
  <c r="O70" i="12"/>
  <c r="K85" i="14"/>
  <c r="F5" i="14"/>
  <c r="N6" i="14"/>
  <c r="J85" i="13" l="1"/>
  <c r="N85" i="13" s="1"/>
  <c r="N5" i="13"/>
  <c r="F85" i="14"/>
  <c r="N5" i="14"/>
  <c r="O5" i="14"/>
  <c r="N85" i="14" l="1"/>
  <c r="F89" i="14"/>
  <c r="O85" i="14"/>
</calcChain>
</file>

<file path=xl/sharedStrings.xml><?xml version="1.0" encoding="utf-8"?>
<sst xmlns="http://schemas.openxmlformats.org/spreadsheetml/2006/main" count="2906" uniqueCount="268">
  <si>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</si>
  <si>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</si>
  <si>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</si>
  <si>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</si>
  <si>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</si>
  <si>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</si>
  <si>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</si>
  <si>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</si>
  <si>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</si>
  <si>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</si>
  <si>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</si>
  <si>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</si>
  <si>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</si>
  <si>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</si>
  <si>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</si>
  <si>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</si>
  <si>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</si>
  <si>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</si>
  <si>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</si>
  <si>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</si>
  <si>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SUPERINTENDENCIA DEL SUBSIDIO FAMILIAR</t>
  </si>
  <si>
    <t>INFORME DE EJECUCION PRESUPUESTAL</t>
  </si>
  <si>
    <t>FUNCIONAMIENTO</t>
  </si>
  <si>
    <t>GASTOS DE PERSONAL</t>
  </si>
  <si>
    <t>INVERSIÓN</t>
  </si>
  <si>
    <t>Fuente: SIIF NACIÓN</t>
  </si>
  <si>
    <r>
      <t xml:space="preserve">% </t>
    </r>
    <r>
      <rPr>
        <b/>
        <sz val="8"/>
        <color theme="0"/>
        <rFont val="Calibri"/>
        <family val="2"/>
        <scheme val="minor"/>
      </rPr>
      <t>COMPROMISO</t>
    </r>
  </si>
  <si>
    <r>
      <t xml:space="preserve">% </t>
    </r>
    <r>
      <rPr>
        <b/>
        <sz val="8"/>
        <color theme="0"/>
        <rFont val="Calibri"/>
        <family val="2"/>
        <scheme val="minor"/>
      </rPr>
      <t>OBLIGADO</t>
    </r>
  </si>
  <si>
    <t>ENERO 31 DE 2019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</si>
  <si>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</si>
  <si>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</si>
  <si>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</si>
  <si>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</si>
  <si>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</si>
  <si>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</si>
  <si>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</si>
  <si>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</si>
  <si>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</si>
  <si>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</si>
  <si>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</si>
  <si>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</si>
  <si>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</si>
  <si>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</si>
  <si>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</si>
  <si>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</si>
  <si>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</si>
  <si>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</si>
  <si>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</si>
  <si>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</si>
  <si>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</si>
  <si>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</si>
  <si>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</si>
  <si>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</si>
  <si>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</si>
  <si>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</si>
  <si>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</si>
  <si>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</si>
  <si>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</si>
  <si>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</si>
  <si>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</si>
  <si>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</si>
  <si>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</si>
  <si>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</si>
  <si>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</si>
  <si>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</si>
  <si>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</si>
  <si>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</si>
  <si>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</si>
  <si>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</si>
  <si>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</si>
  <si>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</si>
  <si>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</si>
  <si>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</si>
  <si>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</si>
  <si>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</si>
  <si>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</si>
  <si>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</si>
  <si>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</si>
  <si>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</si>
  <si>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</si>
  <si>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</si>
  <si>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</si>
  <si>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</si>
  <si>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</si>
  <si>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</si>
  <si>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</si>
  <si>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</si>
  <si>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</si>
  <si>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</si>
  <si>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</si>
  <si>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</si>
  <si>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</si>
  <si>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</si>
  <si>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</si>
  <si>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</si>
  <si>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A-01-02-04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</si>
  <si>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</si>
  <si>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</si>
  <si>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</si>
  <si>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</si>
  <si>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</si>
  <si>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A-02-01-01-004</t>
  </si>
  <si>
    <t>A-02-01-01-006</t>
  </si>
  <si>
    <t>MAQUINARIA Y EQUIPO</t>
  </si>
  <si>
    <t>OTROS ACTIVOS FIJOS</t>
  </si>
  <si>
    <t>A-02-02</t>
  </si>
  <si>
    <t>ADQUISICIONES DIFERENTES DE ACTIVOS</t>
  </si>
  <si>
    <t>A-02-02-01</t>
  </si>
  <si>
    <t>MATERIALES Y SUMINISTROS</t>
  </si>
  <si>
    <t>A-02-02-01-002</t>
  </si>
  <si>
    <t>A-02-02-01-003</t>
  </si>
  <si>
    <t>PRODUCTOS ALIMENTICIOS, BEBIDAS Y TABACO; TEXTILES, PRENDAS DE VESTIR Y PRODUCTOS DE CUERO</t>
  </si>
  <si>
    <t>OTROS BIENES TRANSPORTABLES (EXCEPTO PRODUCTOS METÁLICOS, MAQUINARIA Y EQUIPO)</t>
  </si>
  <si>
    <t>A-02-02-01-004</t>
  </si>
  <si>
    <t>PRODUCTOS METÁLICOS Y PAQUETES DE SOFTWARE</t>
  </si>
  <si>
    <t>A-02-02-02</t>
  </si>
  <si>
    <t>ADQUISICIÓN DE SERVICIOS</t>
  </si>
  <si>
    <t>A-02-02-02-006</t>
  </si>
  <si>
    <t>A-02-02-02-007</t>
  </si>
  <si>
    <t>A-02-02-02-008</t>
  </si>
  <si>
    <t>A-02-02-02-009</t>
  </si>
  <si>
    <t>A-02-02-02-010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</si>
  <si>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</si>
  <si>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</si>
  <si>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</si>
  <si>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</si>
  <si>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</si>
  <si>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A-03-03-01-999</t>
  </si>
  <si>
    <t>A-03-04-02-012</t>
  </si>
  <si>
    <t>A-03-10-01-001</t>
  </si>
  <si>
    <t>OTRAS TRANSFERENCIAS - PREVIO CONCEPTO DGPPN</t>
  </si>
  <si>
    <t>INCAPACIDADES Y LICENCIAS DE MATERNIDAD (NO DE PENSIONES)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</si>
  <si>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</si>
  <si>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</si>
  <si>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</si>
  <si>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</si>
  <si>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</si>
  <si>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</si>
  <si>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</si>
  <si>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</si>
  <si>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</si>
  <si>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</si>
  <si>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</si>
  <si>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</si>
  <si>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</si>
  <si>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FEBRERO 28 DE 2019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</si>
  <si>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</si>
  <si>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</si>
  <si>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</si>
  <si>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</si>
  <si>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</si>
  <si>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</si>
  <si>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</si>
  <si>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</si>
  <si>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</si>
  <si>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</si>
  <si>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</si>
  <si>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</si>
  <si>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</si>
  <si>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</si>
  <si>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</si>
  <si>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</si>
  <si>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C-3699-1300-5-0-3699062-02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</si>
  <si>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</si>
  <si>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</si>
  <si>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</si>
  <si>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</si>
  <si>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</si>
  <si>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</si>
  <si>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</si>
  <si>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</si>
  <si>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</si>
  <si>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</si>
  <si>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</si>
  <si>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</si>
  <si>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</si>
  <si>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>MARZO 31 DE 2019</t>
  </si>
  <si>
    <t>ABRIL 30 DE 2019</t>
  </si>
  <si>
    <t xml:space="preserve">AUXILIO DE TRANSPORTE </t>
  </si>
  <si>
    <t>MAYO 31 DE 2019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</si>
  <si>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</si>
  <si>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</si>
  <si>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</si>
  <si>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</si>
  <si>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</si>
  <si>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</si>
  <si>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</si>
  <si>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</si>
  <si>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</si>
  <si>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</si>
  <si>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</si>
  <si>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</si>
  <si>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</si>
  <si>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</si>
  <si>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</si>
  <si>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</si>
  <si>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</si>
  <si>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</si>
  <si>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</si>
  <si>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</si>
  <si>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</si>
  <si>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</si>
  <si>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</si>
  <si>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</si>
  <si>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</si>
  <si>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</si>
  <si>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</si>
  <si>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</si>
  <si>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</si>
  <si>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</si>
  <si>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</si>
  <si>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</si>
  <si>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</si>
  <si>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</si>
  <si>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</si>
  <si>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</si>
  <si>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</si>
  <si>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</si>
  <si>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</si>
  <si>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</si>
  <si>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</si>
  <si>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</si>
  <si>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</si>
  <si>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</si>
  <si>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</si>
  <si>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</si>
  <si>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</si>
  <si>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</si>
  <si>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</si>
  <si>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</si>
  <si>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</si>
  <si>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</si>
  <si>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</si>
  <si>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</si>
  <si>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</si>
  <si>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</si>
  <si>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</si>
  <si>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</si>
  <si>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</si>
  <si>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</si>
  <si>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</si>
  <si>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</si>
  <si>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JUNIO 30 DE 2019</t>
  </si>
  <si>
    <t>JULIO 31 DE 2019</t>
  </si>
  <si>
    <t>AGOSTO 31 DE 2019</t>
  </si>
  <si>
    <t>SEPTIEMBRE 30 DE 2019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</si>
  <si>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</si>
  <si>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</si>
  <si>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</si>
  <si>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SERVICIOS DE INFORMACIÓN IMPLEMENTADOS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</si>
  <si>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</si>
  <si>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</si>
  <si>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</si>
  <si>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</si>
  <si>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</si>
  <si>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</si>
  <si>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</si>
  <si>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</si>
  <si>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</si>
  <si>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</si>
  <si>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>OCTUBRE 31 DE 2019</t>
  </si>
  <si>
    <t>NOVIEMBRE 30 DE 2019</t>
  </si>
  <si>
    <t>DICIEMBRE 31 DE 2019</t>
  </si>
  <si>
    <t>Enero-Diciembre</t>
  </si>
  <si>
    <t xml:space="preserve">AUXILIO DE CESANTÍAS </t>
  </si>
  <si>
    <t>RESERVAS</t>
  </si>
  <si>
    <t>CxP</t>
  </si>
  <si>
    <t>CDP SIN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</si>
</sst>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(&quot;$&quot;\ #,##0.00\)"/>
    <numFmt numFmtId="165" formatCode="&quot;$&quot;\ #,##0.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FF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9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3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164" fontId="1" fillId="0" borderId="0" xfId="0" applyNumberFormat="1" applyFont="1" applyFill="1" applyBorder="1" applyAlignment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vertical="center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164" fontId="9" fillId="0" borderId="7" xfId="0" applyNumberFormat="1" applyFont="1" applyFill="1" applyBorder="1" applyAlignment="1">
      <alignment horizontal="right" vertical="center" readingOrder="1"/>
    </xf>
    <xf numFmtId="164" fontId="9" fillId="0" borderId="7" xfId="0" applyNumberFormat="1" applyFont="1" applyFill="1" applyBorder="1" applyAlignment="1">
      <alignment vertical="center" wrapText="1" readingOrder="1"/>
    </xf>
    <xf numFmtId="10" fontId="9" fillId="0" borderId="7" xfId="1" applyNumberFormat="1" applyFont="1" applyFill="1" applyBorder="1" applyAlignment="1">
      <alignment horizontal="right" vertical="center" wrapText="1" readingOrder="1"/>
    </xf>
    <xf numFmtId="164" fontId="2" fillId="0" borderId="1" xfId="0" applyNumberFormat="1" applyFont="1" applyFill="1" applyBorder="1" applyAlignment="1">
      <alignment horizontal="right" vertical="center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164" fontId="10" fillId="0" borderId="7" xfId="0" applyNumberFormat="1" applyFont="1" applyFill="1" applyBorder="1" applyAlignment="1">
      <alignment horizontal="right" vertical="center" readingOrder="1"/>
    </xf>
    <xf numFmtId="164" fontId="10" fillId="0" borderId="7" xfId="0" applyNumberFormat="1" applyFont="1" applyFill="1" applyBorder="1" applyAlignment="1">
      <alignment vertical="center" wrapText="1" readingOrder="1"/>
    </xf>
    <xf numFmtId="10" fontId="10" fillId="0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164" fontId="2" fillId="0" borderId="0" xfId="0" applyNumberFormat="1" applyFont="1" applyFill="1" applyBorder="1" applyAlignment="1">
      <alignment horizontal="right" vertical="center" readingOrder="1"/>
    </xf>
    <xf numFmtId="0" fontId="12" fillId="0" borderId="0" xfId="0" applyFont="1" applyFill="1" applyBorder="1"/>
    <xf numFmtId="164" fontId="1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2" fillId="0" borderId="0" xfId="0" applyNumberFormat="1" applyFont="1" applyFill="1" applyBorder="1" applyAlignment="1">
      <alignment horizontal="justify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horizontal="right" vertical="center" wrapText="1" readingOrder="1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NumberFormat="1" applyFont="1" applyFill="1" applyBorder="1" applyAlignment="1">
      <alignment horizontal="left" vertical="center" wrapText="1" readingOrder="1"/>
    </xf>
    <xf numFmtId="0" fontId="18" fillId="0" borderId="1" xfId="0" applyNumberFormat="1" applyFont="1" applyFill="1" applyBorder="1" applyAlignment="1">
      <alignment vertical="center" wrapText="1" readingOrder="1"/>
    </xf>
    <xf numFmtId="164" fontId="18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9" fillId="0" borderId="7" xfId="0" applyNumberFormat="1" applyFont="1" applyFill="1" applyBorder="1" applyAlignment="1">
      <alignment horizontal="right" vertical="center" readingOrder="1"/>
    </xf>
    <xf numFmtId="164" fontId="19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4" fontId="20" fillId="0" borderId="7" xfId="0" applyNumberFormat="1" applyFont="1" applyFill="1" applyBorder="1" applyAlignment="1">
      <alignment vertical="center" wrapText="1" readingOrder="1"/>
    </xf>
    <xf numFmtId="165" fontId="21" fillId="0" borderId="0" xfId="0" applyNumberFormat="1" applyFont="1" applyFill="1" applyBorder="1" applyAlignment="1"/>
    <xf numFmtId="164" fontId="22" fillId="0" borderId="7" xfId="0" applyNumberFormat="1" applyFont="1" applyFill="1" applyBorder="1" applyAlignment="1">
      <alignment horizontal="right" vertical="center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1" fillId="3" borderId="7" xfId="0" applyNumberFormat="1" applyFont="1" applyFill="1" applyBorder="1" applyAlignment="1">
      <alignment horizontal="left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4" borderId="0" xfId="0" applyNumberFormat="1" applyFont="1" applyFill="1" applyBorder="1" applyAlignment="1">
      <alignment horizontal="center" vertical="center" wrapText="1" readingOrder="1"/>
    </xf>
    <xf numFmtId="0" fontId="16" fillId="4" borderId="6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zoomScaleNormal="100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M55" sqref="M55"/>
    </sheetView>
  </sheetViews>
  <sheetFormatPr baseColWidth="10" defaultRowHeight="15" x14ac:dyDescent="0.25"/>
  <cols>
    <col min="1" max="1" width="14.28515625" style="1" bestFit="1" customWidth="1"/>
    <col min="2" max="2" width="36.42578125" style="1" customWidth="1"/>
    <col min="3" max="3" width="14.85546875" style="1" customWidth="1"/>
    <col min="4" max="5" width="10.140625" style="1" customWidth="1"/>
    <col min="6" max="6" width="15" style="1" customWidth="1"/>
    <col min="7" max="7" width="14.28515625" style="1" bestFit="1" customWidth="1"/>
    <col min="8" max="8" width="14.85546875" style="1" customWidth="1"/>
    <col min="9" max="9" width="15.140625" style="1" bestFit="1" customWidth="1"/>
    <col min="10" max="13" width="14.28515625" style="1" bestFit="1" customWidth="1"/>
    <col min="14" max="14" width="10.5703125" style="1" customWidth="1"/>
    <col min="15" max="15" width="8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26</v>
      </c>
      <c r="O4" s="6" t="s">
        <v>27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+C6+C37+C53+C57</f>
        <v>29191962728</v>
      </c>
      <c r="D5" s="7">
        <f t="shared" ref="D5:M5" si="0">+D6+D37+D53+D57</f>
        <v>0</v>
      </c>
      <c r="E5" s="7">
        <f t="shared" si="0"/>
        <v>0</v>
      </c>
      <c r="F5" s="7">
        <f t="shared" si="0"/>
        <v>29191962728</v>
      </c>
      <c r="G5" s="7">
        <f t="shared" si="0"/>
        <v>2861504000</v>
      </c>
      <c r="H5" s="7">
        <f t="shared" si="0"/>
        <v>19626109797.119999</v>
      </c>
      <c r="I5" s="7">
        <f t="shared" si="0"/>
        <v>6704348930.8800001</v>
      </c>
      <c r="J5" s="7">
        <f t="shared" si="0"/>
        <v>4426465860.0900002</v>
      </c>
      <c r="K5" s="7">
        <f t="shared" si="0"/>
        <v>3288611308.9699998</v>
      </c>
      <c r="L5" s="7">
        <f t="shared" si="0"/>
        <v>3288611308.9699998</v>
      </c>
      <c r="M5" s="7">
        <f t="shared" si="0"/>
        <v>3262786875.9699998</v>
      </c>
      <c r="N5" s="9">
        <f>+J5/F5</f>
        <v>0.15163303342547349</v>
      </c>
      <c r="O5" s="10">
        <f>+K5/F5</f>
        <v>0.11265468305821276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959228458</v>
      </c>
      <c r="K6" s="7">
        <f t="shared" si="1"/>
        <v>959228458</v>
      </c>
      <c r="L6" s="7">
        <f t="shared" si="1"/>
        <v>959228458</v>
      </c>
      <c r="M6" s="7">
        <f t="shared" si="1"/>
        <v>953408001</v>
      </c>
      <c r="N6" s="9">
        <f>+J6/F6</f>
        <v>6.1571141989483533E-2</v>
      </c>
      <c r="O6" s="10">
        <f>+K6/F6</f>
        <v>6.1571141989483533E-2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18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959228458</v>
      </c>
      <c r="K7" s="18">
        <f>+K8+K20+K30</f>
        <v>959228458</v>
      </c>
      <c r="L7" s="18">
        <f>+L8+L20+L30</f>
        <v>959228458</v>
      </c>
      <c r="M7" s="18">
        <f>+M8+M20+M30</f>
        <v>953408001</v>
      </c>
      <c r="N7" s="20">
        <f>+J7/F7</f>
        <v>6.3304190511450614E-2</v>
      </c>
      <c r="O7" s="20">
        <f>+K7/F7</f>
        <v>6.3304190511450614E-2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18" si="3">+F8-G8-H8</f>
        <v>0</v>
      </c>
      <c r="J8" s="18">
        <f>+J9</f>
        <v>646490859</v>
      </c>
      <c r="K8" s="18">
        <f>+K9</f>
        <v>646490859</v>
      </c>
      <c r="L8" s="18">
        <f>+L9</f>
        <v>646490859</v>
      </c>
      <c r="M8" s="18">
        <f>+M9</f>
        <v>640670402</v>
      </c>
      <c r="N8" s="20">
        <f t="shared" ref="N8:N62" si="4">+J8/F8</f>
        <v>6.1668869925112044E-2</v>
      </c>
      <c r="O8" s="20">
        <f t="shared" ref="O8:O62" si="5">+K8/F8</f>
        <v>6.1668869925112044E-2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646490859</v>
      </c>
      <c r="K9" s="18">
        <f>SUM(K10:K19)</f>
        <v>646490859</v>
      </c>
      <c r="L9" s="18">
        <f>SUM(L10:L19)</f>
        <v>646490859</v>
      </c>
      <c r="M9" s="18">
        <f>SUM(M10:M19)</f>
        <v>640670402</v>
      </c>
      <c r="N9" s="20">
        <f t="shared" si="4"/>
        <v>6.1668869925112044E-2</v>
      </c>
      <c r="O9" s="20">
        <f t="shared" si="5"/>
        <v>6.1668869925112044E-2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ref="F10:F17" si="6">+C10+D10-E10</f>
        <v>7663000000</v>
      </c>
      <c r="G10" s="13">
        <v>0</v>
      </c>
      <c r="H10" s="13">
        <v>7663000000</v>
      </c>
      <c r="I10" s="14">
        <f t="shared" ref="I10:I17" si="7">+F10-G10-H10</f>
        <v>0</v>
      </c>
      <c r="J10" s="13">
        <v>565056989</v>
      </c>
      <c r="K10" s="13">
        <v>565056989</v>
      </c>
      <c r="L10" s="13">
        <v>565056989</v>
      </c>
      <c r="M10" s="13">
        <v>559236532</v>
      </c>
      <c r="N10" s="15">
        <f t="shared" ref="N10:N17" si="8">+J10/F10</f>
        <v>7.3738351689938669E-2</v>
      </c>
      <c r="O10" s="15">
        <f t="shared" ref="O10:O17" si="9">+K10/F10</f>
        <v>7.3738351689938669E-2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6"/>
        <v>73000000</v>
      </c>
      <c r="G11" s="13">
        <v>0</v>
      </c>
      <c r="H11" s="13">
        <v>73000000</v>
      </c>
      <c r="I11" s="14">
        <f t="shared" si="7"/>
        <v>0</v>
      </c>
      <c r="J11" s="13">
        <v>5641543</v>
      </c>
      <c r="K11" s="13">
        <v>5641543</v>
      </c>
      <c r="L11" s="13">
        <v>5641543</v>
      </c>
      <c r="M11" s="13">
        <v>5641543</v>
      </c>
      <c r="N11" s="15">
        <f t="shared" si="8"/>
        <v>7.7281410958904104E-2</v>
      </c>
      <c r="O11" s="15">
        <f t="shared" si="9"/>
        <v>7.7281410958904104E-2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6"/>
        <v>640000000</v>
      </c>
      <c r="G12" s="13">
        <v>0</v>
      </c>
      <c r="H12" s="13">
        <v>640000000</v>
      </c>
      <c r="I12" s="14">
        <f t="shared" si="7"/>
        <v>0</v>
      </c>
      <c r="J12" s="13">
        <v>16295949</v>
      </c>
      <c r="K12" s="13">
        <v>16295949</v>
      </c>
      <c r="L12" s="13">
        <v>16295949</v>
      </c>
      <c r="M12" s="13">
        <v>16295949</v>
      </c>
      <c r="N12" s="15">
        <f t="shared" si="8"/>
        <v>2.5462420312500001E-2</v>
      </c>
      <c r="O12" s="15">
        <f t="shared" si="9"/>
        <v>2.5462420312500001E-2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6"/>
        <v>14000000</v>
      </c>
      <c r="G13" s="13">
        <v>0</v>
      </c>
      <c r="H13" s="13">
        <v>14000000</v>
      </c>
      <c r="I13" s="14">
        <f t="shared" si="7"/>
        <v>0</v>
      </c>
      <c r="J13" s="13">
        <v>998822</v>
      </c>
      <c r="K13" s="13">
        <v>998822</v>
      </c>
      <c r="L13" s="13">
        <v>998822</v>
      </c>
      <c r="M13" s="13">
        <v>998822</v>
      </c>
      <c r="N13" s="15">
        <f t="shared" si="8"/>
        <v>7.1344428571428573E-2</v>
      </c>
      <c r="O13" s="15">
        <f t="shared" si="9"/>
        <v>7.1344428571428573E-2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6"/>
        <v>5000000</v>
      </c>
      <c r="G14" s="13">
        <v>0</v>
      </c>
      <c r="H14" s="13">
        <v>5000000</v>
      </c>
      <c r="I14" s="14">
        <f t="shared" si="7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8"/>
        <v>0</v>
      </c>
      <c r="O14" s="15">
        <f t="shared" si="9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6"/>
        <v>404000000</v>
      </c>
      <c r="G15" s="13">
        <v>0</v>
      </c>
      <c r="H15" s="13">
        <v>404000000</v>
      </c>
      <c r="I15" s="14">
        <f t="shared" si="7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8"/>
        <v>0</v>
      </c>
      <c r="O15" s="15">
        <f t="shared" si="9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6"/>
        <v>287000000</v>
      </c>
      <c r="G16" s="13">
        <v>0</v>
      </c>
      <c r="H16" s="13">
        <v>287000000</v>
      </c>
      <c r="I16" s="14">
        <f t="shared" si="7"/>
        <v>0</v>
      </c>
      <c r="J16" s="13">
        <v>57547166</v>
      </c>
      <c r="K16" s="13">
        <v>57547166</v>
      </c>
      <c r="L16" s="13">
        <v>57547166</v>
      </c>
      <c r="M16" s="13">
        <v>57547166</v>
      </c>
      <c r="N16" s="15">
        <f t="shared" si="8"/>
        <v>0.20051277351916377</v>
      </c>
      <c r="O16" s="15">
        <f t="shared" si="9"/>
        <v>0.20051277351916377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6"/>
        <v>60000000</v>
      </c>
      <c r="G17" s="13">
        <v>0</v>
      </c>
      <c r="H17" s="13">
        <v>60000000</v>
      </c>
      <c r="I17" s="14">
        <f t="shared" si="7"/>
        <v>0</v>
      </c>
      <c r="J17" s="13">
        <v>0</v>
      </c>
      <c r="K17" s="13">
        <v>0</v>
      </c>
      <c r="L17" s="13">
        <v>0</v>
      </c>
      <c r="M17" s="13">
        <v>0</v>
      </c>
      <c r="N17" s="15">
        <f t="shared" si="8"/>
        <v>0</v>
      </c>
      <c r="O17" s="15">
        <f t="shared" si="9"/>
        <v>0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ref="F19:F36" si="10">+C19+D19-E19</f>
        <v>487261000</v>
      </c>
      <c r="G19" s="13">
        <v>0</v>
      </c>
      <c r="H19" s="13">
        <v>487261000</v>
      </c>
      <c r="I19" s="14">
        <f t="shared" ref="I19:I36" si="11">+F19-G19-H19</f>
        <v>0</v>
      </c>
      <c r="J19" s="13">
        <v>950390</v>
      </c>
      <c r="K19" s="13">
        <v>950390</v>
      </c>
      <c r="L19" s="13">
        <v>950390</v>
      </c>
      <c r="M19" s="13">
        <v>950390</v>
      </c>
      <c r="N19" s="15">
        <f t="shared" ref="N19:N36" si="12">+J19/F19</f>
        <v>1.9504741811883159E-3</v>
      </c>
      <c r="O19" s="15">
        <f t="shared" ref="O19:O36" si="13">+K19/F19</f>
        <v>1.9504741811883159E-3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4">SUM(D21:D29)</f>
        <v>0</v>
      </c>
      <c r="E20" s="18">
        <f t="shared" si="14"/>
        <v>0</v>
      </c>
      <c r="F20" s="19">
        <f t="shared" si="10"/>
        <v>3970666000</v>
      </c>
      <c r="G20" s="18">
        <f t="shared" ref="G20" si="15">SUM(G21:G29)</f>
        <v>0</v>
      </c>
      <c r="H20" s="18">
        <f t="shared" ref="H20" si="16">SUM(H21:H29)</f>
        <v>3970666000</v>
      </c>
      <c r="I20" s="19">
        <f>+F20-G20-H20</f>
        <v>0</v>
      </c>
      <c r="J20" s="18">
        <f t="shared" ref="J20" si="17">SUM(J21:J29)</f>
        <v>283295325</v>
      </c>
      <c r="K20" s="18">
        <f t="shared" ref="K20" si="18">SUM(K21:K29)</f>
        <v>283295325</v>
      </c>
      <c r="L20" s="18">
        <f t="shared" ref="L20" si="19">SUM(L21:L29)</f>
        <v>283295325</v>
      </c>
      <c r="M20" s="18">
        <f t="shared" ref="M20" si="20">SUM(M21:M29)</f>
        <v>283295325</v>
      </c>
      <c r="N20" s="20">
        <f t="shared" si="12"/>
        <v>7.1347054876940041E-2</v>
      </c>
      <c r="O20" s="20">
        <f t="shared" si="13"/>
        <v>7.1347054876940041E-2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10"/>
        <v>1200666000</v>
      </c>
      <c r="G21" s="13">
        <v>0</v>
      </c>
      <c r="H21" s="13">
        <v>1200666000</v>
      </c>
      <c r="I21" s="14">
        <f t="shared" si="11"/>
        <v>0</v>
      </c>
      <c r="J21" s="13">
        <v>87639780</v>
      </c>
      <c r="K21" s="13">
        <v>87639780</v>
      </c>
      <c r="L21" s="13">
        <v>87639780</v>
      </c>
      <c r="M21" s="13">
        <v>87639780</v>
      </c>
      <c r="N21" s="15">
        <f t="shared" si="12"/>
        <v>7.2992639085307648E-2</v>
      </c>
      <c r="O21" s="15">
        <f t="shared" si="13"/>
        <v>7.2992639085307648E-2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10"/>
        <v>780000000</v>
      </c>
      <c r="G22" s="13">
        <v>0</v>
      </c>
      <c r="H22" s="13">
        <v>780000000</v>
      </c>
      <c r="I22" s="14">
        <f t="shared" si="11"/>
        <v>0</v>
      </c>
      <c r="J22" s="13">
        <v>62078680</v>
      </c>
      <c r="K22" s="13">
        <v>62078680</v>
      </c>
      <c r="L22" s="13">
        <v>62078680</v>
      </c>
      <c r="M22" s="13">
        <v>62078680</v>
      </c>
      <c r="N22" s="15">
        <f t="shared" si="12"/>
        <v>7.9588051282051278E-2</v>
      </c>
      <c r="O22" s="15">
        <f t="shared" si="13"/>
        <v>7.9588051282051278E-2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10"/>
        <v>920000000</v>
      </c>
      <c r="G23" s="13">
        <v>0</v>
      </c>
      <c r="H23" s="13">
        <v>920000000</v>
      </c>
      <c r="I23" s="14">
        <f t="shared" si="11"/>
        <v>0</v>
      </c>
      <c r="J23" s="13">
        <v>64255965</v>
      </c>
      <c r="K23" s="13">
        <v>64255965</v>
      </c>
      <c r="L23" s="13">
        <v>64255965</v>
      </c>
      <c r="M23" s="13">
        <v>64255965</v>
      </c>
      <c r="N23" s="15">
        <f t="shared" si="12"/>
        <v>6.9843440217391306E-2</v>
      </c>
      <c r="O23" s="15">
        <f t="shared" si="13"/>
        <v>6.9843440217391306E-2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10"/>
        <v>420000000</v>
      </c>
      <c r="G24" s="13">
        <v>0</v>
      </c>
      <c r="H24" s="13">
        <v>420000000</v>
      </c>
      <c r="I24" s="14">
        <f t="shared" si="11"/>
        <v>0</v>
      </c>
      <c r="J24" s="13">
        <v>29116800</v>
      </c>
      <c r="K24" s="13">
        <v>29116800</v>
      </c>
      <c r="L24" s="13">
        <v>29116800</v>
      </c>
      <c r="M24" s="13">
        <v>29116800</v>
      </c>
      <c r="N24" s="15">
        <f t="shared" si="12"/>
        <v>6.9325714285714282E-2</v>
      </c>
      <c r="O24" s="15">
        <f t="shared" si="13"/>
        <v>6.9325714285714282E-2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10"/>
        <v>70000000</v>
      </c>
      <c r="G25" s="13">
        <v>0</v>
      </c>
      <c r="H25" s="13">
        <v>70000000</v>
      </c>
      <c r="I25" s="14">
        <f t="shared" si="11"/>
        <v>0</v>
      </c>
      <c r="J25" s="13">
        <v>3787200</v>
      </c>
      <c r="K25" s="13">
        <v>3787200</v>
      </c>
      <c r="L25" s="13">
        <v>3787200</v>
      </c>
      <c r="M25" s="13">
        <v>3787200</v>
      </c>
      <c r="N25" s="15">
        <f t="shared" si="12"/>
        <v>5.410285714285714E-2</v>
      </c>
      <c r="O25" s="15">
        <f t="shared" si="13"/>
        <v>5.410285714285714E-2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10"/>
        <v>320000000</v>
      </c>
      <c r="G26" s="13">
        <v>0</v>
      </c>
      <c r="H26" s="13">
        <v>320000000</v>
      </c>
      <c r="I26" s="14">
        <f t="shared" si="11"/>
        <v>0</v>
      </c>
      <c r="J26" s="13">
        <v>21838600</v>
      </c>
      <c r="K26" s="13">
        <v>21838600</v>
      </c>
      <c r="L26" s="13">
        <v>21838600</v>
      </c>
      <c r="M26" s="13">
        <v>21838600</v>
      </c>
      <c r="N26" s="15">
        <f t="shared" si="12"/>
        <v>6.8245625000000004E-2</v>
      </c>
      <c r="O26" s="15">
        <f t="shared" si="13"/>
        <v>6.8245625000000004E-2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10"/>
        <v>70000000</v>
      </c>
      <c r="G27" s="13">
        <v>0</v>
      </c>
      <c r="H27" s="13">
        <v>70000000</v>
      </c>
      <c r="I27" s="14">
        <f t="shared" si="11"/>
        <v>0</v>
      </c>
      <c r="J27" s="13">
        <v>3646400</v>
      </c>
      <c r="K27" s="13">
        <v>3646400</v>
      </c>
      <c r="L27" s="13">
        <v>3646400</v>
      </c>
      <c r="M27" s="13">
        <v>3646400</v>
      </c>
      <c r="N27" s="15">
        <f t="shared" si="12"/>
        <v>5.2091428571428573E-2</v>
      </c>
      <c r="O27" s="15">
        <f t="shared" si="13"/>
        <v>5.2091428571428573E-2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10"/>
        <v>70000000</v>
      </c>
      <c r="G28" s="13">
        <v>0</v>
      </c>
      <c r="H28" s="13">
        <v>70000000</v>
      </c>
      <c r="I28" s="14">
        <f t="shared" si="11"/>
        <v>0</v>
      </c>
      <c r="J28" s="13">
        <v>3646400</v>
      </c>
      <c r="K28" s="13">
        <v>3646400</v>
      </c>
      <c r="L28" s="13">
        <v>3646400</v>
      </c>
      <c r="M28" s="13">
        <v>3646400</v>
      </c>
      <c r="N28" s="15">
        <f t="shared" si="12"/>
        <v>5.2091428571428573E-2</v>
      </c>
      <c r="O28" s="15">
        <f t="shared" si="13"/>
        <v>5.2091428571428573E-2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10"/>
        <v>120000000</v>
      </c>
      <c r="G29" s="13">
        <v>0</v>
      </c>
      <c r="H29" s="13">
        <v>120000000</v>
      </c>
      <c r="I29" s="14">
        <f t="shared" si="11"/>
        <v>0</v>
      </c>
      <c r="J29" s="13">
        <v>7285500</v>
      </c>
      <c r="K29" s="13">
        <v>7285500</v>
      </c>
      <c r="L29" s="13">
        <v>7285500</v>
      </c>
      <c r="M29" s="13">
        <v>7285500</v>
      </c>
      <c r="N29" s="15">
        <f t="shared" si="12"/>
        <v>6.0712500000000003E-2</v>
      </c>
      <c r="O29" s="15">
        <f t="shared" si="13"/>
        <v>6.0712500000000003E-2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21">SUM(D31:D35)</f>
        <v>0</v>
      </c>
      <c r="E30" s="18">
        <f t="shared" si="21"/>
        <v>0</v>
      </c>
      <c r="F30" s="19">
        <f t="shared" si="10"/>
        <v>698758000</v>
      </c>
      <c r="G30" s="18">
        <f t="shared" ref="G30:H30" si="22">SUM(G31:G35)</f>
        <v>0</v>
      </c>
      <c r="H30" s="18">
        <f t="shared" si="22"/>
        <v>698758000</v>
      </c>
      <c r="I30" s="19">
        <f>+F30-G30-H30</f>
        <v>0</v>
      </c>
      <c r="J30" s="18">
        <f t="shared" ref="J30" si="23">SUM(J31:J35)</f>
        <v>29442274</v>
      </c>
      <c r="K30" s="18">
        <f t="shared" ref="K30" si="24">SUM(K31:K35)</f>
        <v>29442274</v>
      </c>
      <c r="L30" s="18">
        <f t="shared" ref="L30" si="25">SUM(L31:L35)</f>
        <v>29442274</v>
      </c>
      <c r="M30" s="18">
        <f t="shared" ref="M30" si="26">SUM(M31:M35)</f>
        <v>29442274</v>
      </c>
      <c r="N30" s="20">
        <f t="shared" si="12"/>
        <v>4.2135151225460028E-2</v>
      </c>
      <c r="O30" s="20">
        <f t="shared" si="13"/>
        <v>4.2135151225460028E-2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10"/>
        <v>294262800</v>
      </c>
      <c r="G31" s="13">
        <v>0</v>
      </c>
      <c r="H31" s="13">
        <v>294262800</v>
      </c>
      <c r="I31" s="14">
        <f t="shared" si="11"/>
        <v>0</v>
      </c>
      <c r="J31" s="13">
        <v>1330547</v>
      </c>
      <c r="K31" s="13">
        <v>1330547</v>
      </c>
      <c r="L31" s="13">
        <v>1330547</v>
      </c>
      <c r="M31" s="13">
        <v>1330547</v>
      </c>
      <c r="N31" s="15">
        <f t="shared" si="12"/>
        <v>4.5216282860082889E-3</v>
      </c>
      <c r="O31" s="15">
        <f t="shared" si="13"/>
        <v>4.5216282860082889E-3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10"/>
        <v>60000000</v>
      </c>
      <c r="G32" s="13">
        <v>0</v>
      </c>
      <c r="H32" s="13">
        <v>60000000</v>
      </c>
      <c r="I32" s="14">
        <f t="shared" si="11"/>
        <v>0</v>
      </c>
      <c r="J32" s="13">
        <v>0</v>
      </c>
      <c r="K32" s="13">
        <v>0</v>
      </c>
      <c r="L32" s="13">
        <v>0</v>
      </c>
      <c r="M32" s="13">
        <v>0</v>
      </c>
      <c r="N32" s="15">
        <f t="shared" si="12"/>
        <v>0</v>
      </c>
      <c r="O32" s="15">
        <f t="shared" si="13"/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10"/>
        <v>47548800</v>
      </c>
      <c r="G33" s="13">
        <v>0</v>
      </c>
      <c r="H33" s="13">
        <v>47548800</v>
      </c>
      <c r="I33" s="14">
        <f t="shared" si="11"/>
        <v>0</v>
      </c>
      <c r="J33" s="13">
        <v>118202</v>
      </c>
      <c r="K33" s="13">
        <v>118202</v>
      </c>
      <c r="L33" s="13">
        <v>118202</v>
      </c>
      <c r="M33" s="13">
        <v>118202</v>
      </c>
      <c r="N33" s="15">
        <f t="shared" si="12"/>
        <v>2.485909213271418E-3</v>
      </c>
      <c r="O33" s="15">
        <f t="shared" si="13"/>
        <v>2.485909213271418E-3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10"/>
        <v>153946400</v>
      </c>
      <c r="G34" s="13">
        <v>0</v>
      </c>
      <c r="H34" s="13">
        <v>153946400</v>
      </c>
      <c r="I34" s="14">
        <f t="shared" si="11"/>
        <v>0</v>
      </c>
      <c r="J34" s="13">
        <v>18885835</v>
      </c>
      <c r="K34" s="13">
        <v>18885835</v>
      </c>
      <c r="L34" s="13">
        <v>18885835</v>
      </c>
      <c r="M34" s="13">
        <v>18885835</v>
      </c>
      <c r="N34" s="15">
        <f t="shared" si="12"/>
        <v>0.12267799052137628</v>
      </c>
      <c r="O34" s="15">
        <f t="shared" si="13"/>
        <v>0.12267799052137628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10"/>
        <v>143000000</v>
      </c>
      <c r="G35" s="13">
        <v>0</v>
      </c>
      <c r="H35" s="13">
        <v>143000000</v>
      </c>
      <c r="I35" s="14">
        <f t="shared" si="11"/>
        <v>0</v>
      </c>
      <c r="J35" s="13">
        <v>9107690</v>
      </c>
      <c r="K35" s="13">
        <v>9107690</v>
      </c>
      <c r="L35" s="13">
        <v>9107690</v>
      </c>
      <c r="M35" s="13">
        <v>9107690</v>
      </c>
      <c r="N35" s="15">
        <f t="shared" si="12"/>
        <v>6.3690139860139855E-2</v>
      </c>
      <c r="O35" s="15">
        <f t="shared" si="13"/>
        <v>6.3690139860139855E-2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10"/>
        <v>426504000</v>
      </c>
      <c r="G36" s="24">
        <v>426504000</v>
      </c>
      <c r="H36" s="24">
        <v>0</v>
      </c>
      <c r="I36" s="25">
        <f t="shared" si="11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12"/>
        <v>0</v>
      </c>
      <c r="O36" s="26">
        <f t="shared" si="13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27">+D38+D42</f>
        <v>0</v>
      </c>
      <c r="E37" s="8">
        <f t="shared" si="27"/>
        <v>0</v>
      </c>
      <c r="F37" s="8">
        <f t="shared" si="27"/>
        <v>9897753728</v>
      </c>
      <c r="G37" s="8">
        <f t="shared" si="27"/>
        <v>0</v>
      </c>
      <c r="H37" s="8">
        <f t="shared" si="27"/>
        <v>4373564797.1199999</v>
      </c>
      <c r="I37" s="8">
        <f t="shared" si="27"/>
        <v>5524188930.8800001</v>
      </c>
      <c r="J37" s="8">
        <f t="shared" si="27"/>
        <v>3462796742.0900002</v>
      </c>
      <c r="K37" s="8">
        <f t="shared" si="27"/>
        <v>2324942190.9699998</v>
      </c>
      <c r="L37" s="8">
        <f t="shared" si="27"/>
        <v>2324942190.9699998</v>
      </c>
      <c r="M37" s="8">
        <f t="shared" si="27"/>
        <v>2304938214.9699998</v>
      </c>
      <c r="N37" s="9">
        <f t="shared" si="4"/>
        <v>0.34985682986777183</v>
      </c>
      <c r="O37" s="10">
        <f t="shared" si="5"/>
        <v>0.23489594254026683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28">+D39</f>
        <v>0</v>
      </c>
      <c r="E38" s="18">
        <f t="shared" si="28"/>
        <v>0</v>
      </c>
      <c r="F38" s="19">
        <f t="shared" ref="F38:F62" si="29">+C38+D38-E38</f>
        <v>135000000</v>
      </c>
      <c r="G38" s="18">
        <f t="shared" ref="G38:H38" si="30">+G39</f>
        <v>0</v>
      </c>
      <c r="H38" s="18">
        <f t="shared" si="30"/>
        <v>0</v>
      </c>
      <c r="I38" s="19">
        <f t="shared" ref="I38:I62" si="31">+F38-G38-H38</f>
        <v>135000000</v>
      </c>
      <c r="J38" s="18">
        <f t="shared" ref="J38:M38" si="32">+J39</f>
        <v>0</v>
      </c>
      <c r="K38" s="18">
        <f t="shared" si="32"/>
        <v>0</v>
      </c>
      <c r="L38" s="18">
        <f t="shared" si="32"/>
        <v>0</v>
      </c>
      <c r="M38" s="18">
        <f t="shared" si="32"/>
        <v>0</v>
      </c>
      <c r="N38" s="20">
        <f t="shared" si="4"/>
        <v>0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33">SUM(D40:D41)</f>
        <v>0</v>
      </c>
      <c r="E39" s="18">
        <f t="shared" si="33"/>
        <v>0</v>
      </c>
      <c r="F39" s="19">
        <f t="shared" si="29"/>
        <v>135000000</v>
      </c>
      <c r="G39" s="18">
        <f t="shared" ref="G39:H39" si="34">SUM(G40:G41)</f>
        <v>0</v>
      </c>
      <c r="H39" s="18">
        <f t="shared" si="34"/>
        <v>0</v>
      </c>
      <c r="I39" s="19">
        <f t="shared" si="31"/>
        <v>135000000</v>
      </c>
      <c r="J39" s="18">
        <f t="shared" ref="J39:M39" si="35">SUM(J40:J41)</f>
        <v>0</v>
      </c>
      <c r="K39" s="18">
        <f t="shared" si="35"/>
        <v>0</v>
      </c>
      <c r="L39" s="18">
        <f t="shared" si="35"/>
        <v>0</v>
      </c>
      <c r="M39" s="18">
        <f t="shared" si="35"/>
        <v>0</v>
      </c>
      <c r="N39" s="20">
        <f t="shared" si="4"/>
        <v>0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29"/>
        <v>40000000</v>
      </c>
      <c r="G40" s="13">
        <v>0</v>
      </c>
      <c r="H40" s="13">
        <v>0</v>
      </c>
      <c r="I40" s="14">
        <f t="shared" si="31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29"/>
        <v>95000000</v>
      </c>
      <c r="G41" s="13">
        <v>0</v>
      </c>
      <c r="H41" s="13">
        <v>0</v>
      </c>
      <c r="I41" s="14">
        <f t="shared" si="31"/>
        <v>95000000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36">+D43+D47</f>
        <v>0</v>
      </c>
      <c r="E42" s="18">
        <f t="shared" si="36"/>
        <v>0</v>
      </c>
      <c r="F42" s="19">
        <f t="shared" si="29"/>
        <v>9762753728</v>
      </c>
      <c r="G42" s="18">
        <f t="shared" ref="G42:H42" si="37">+G43+G47</f>
        <v>0</v>
      </c>
      <c r="H42" s="18">
        <f t="shared" si="37"/>
        <v>4373564797.1199999</v>
      </c>
      <c r="I42" s="19">
        <f t="shared" si="31"/>
        <v>5389188930.8800001</v>
      </c>
      <c r="J42" s="18">
        <f t="shared" ref="J42:M42" si="38">+J43+J47</f>
        <v>3462796742.0900002</v>
      </c>
      <c r="K42" s="18">
        <f t="shared" si="38"/>
        <v>2324942190.9699998</v>
      </c>
      <c r="L42" s="18">
        <f t="shared" si="38"/>
        <v>2324942190.9699998</v>
      </c>
      <c r="M42" s="18">
        <f t="shared" si="38"/>
        <v>2304938214.9699998</v>
      </c>
      <c r="N42" s="20">
        <f t="shared" si="4"/>
        <v>0.35469467309807778</v>
      </c>
      <c r="O42" s="20">
        <f t="shared" si="5"/>
        <v>0.23814409906725037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39">SUM(D44:D46)</f>
        <v>0</v>
      </c>
      <c r="E43" s="18">
        <f t="shared" si="39"/>
        <v>0</v>
      </c>
      <c r="F43" s="19">
        <f>+C43+D43-E43</f>
        <v>92000000</v>
      </c>
      <c r="G43" s="18">
        <f t="shared" si="39"/>
        <v>0</v>
      </c>
      <c r="H43" s="18">
        <f t="shared" si="39"/>
        <v>25800000</v>
      </c>
      <c r="I43" s="19">
        <f t="shared" si="31"/>
        <v>66200000</v>
      </c>
      <c r="J43" s="18">
        <f t="shared" ref="J43" si="40">SUM(J44:J46)</f>
        <v>25000000</v>
      </c>
      <c r="K43" s="18">
        <f t="shared" ref="K43" si="41">SUM(K44:K46)</f>
        <v>347620</v>
      </c>
      <c r="L43" s="18">
        <f t="shared" ref="L43" si="42">SUM(L44:L46)</f>
        <v>347620</v>
      </c>
      <c r="M43" s="18">
        <f t="shared" ref="M43" si="43">SUM(M44:M46)</f>
        <v>0</v>
      </c>
      <c r="N43" s="20">
        <f t="shared" si="4"/>
        <v>0.27173913043478259</v>
      </c>
      <c r="O43" s="20">
        <f t="shared" si="5"/>
        <v>3.7784782608695651E-3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29"/>
        <v>15000000</v>
      </c>
      <c r="G44" s="13">
        <v>0</v>
      </c>
      <c r="H44" s="13">
        <v>200000</v>
      </c>
      <c r="I44" s="14">
        <f t="shared" si="31"/>
        <v>14800000</v>
      </c>
      <c r="J44" s="13">
        <v>0</v>
      </c>
      <c r="K44" s="13">
        <v>0</v>
      </c>
      <c r="L44" s="13">
        <v>0</v>
      </c>
      <c r="M44" s="13">
        <v>0</v>
      </c>
      <c r="N44" s="15">
        <f t="shared" si="4"/>
        <v>0</v>
      </c>
      <c r="O44" s="15">
        <f t="shared" si="5"/>
        <v>0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29"/>
        <v>45000000</v>
      </c>
      <c r="G45" s="13">
        <v>0</v>
      </c>
      <c r="H45" s="13">
        <v>25600000</v>
      </c>
      <c r="I45" s="14">
        <f t="shared" si="31"/>
        <v>19400000</v>
      </c>
      <c r="J45" s="13">
        <v>25000000</v>
      </c>
      <c r="K45" s="13">
        <v>347620</v>
      </c>
      <c r="L45" s="13">
        <v>347620</v>
      </c>
      <c r="M45" s="13">
        <v>0</v>
      </c>
      <c r="N45" s="15">
        <f t="shared" si="4"/>
        <v>0.55555555555555558</v>
      </c>
      <c r="O45" s="15">
        <f t="shared" si="5"/>
        <v>7.7248888888888888E-3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29"/>
        <v>32000000</v>
      </c>
      <c r="G46" s="13">
        <v>0</v>
      </c>
      <c r="H46" s="13">
        <v>0</v>
      </c>
      <c r="I46" s="14">
        <f t="shared" si="31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44">SUM(D48:D52)</f>
        <v>0</v>
      </c>
      <c r="E47" s="18">
        <f t="shared" si="44"/>
        <v>0</v>
      </c>
      <c r="F47" s="19">
        <f t="shared" si="29"/>
        <v>9670753728</v>
      </c>
      <c r="G47" s="18">
        <f t="shared" ref="G47" si="45">SUM(G48:G52)</f>
        <v>0</v>
      </c>
      <c r="H47" s="18">
        <f t="shared" ref="H47" si="46">SUM(H48:H52)</f>
        <v>4347764797.1199999</v>
      </c>
      <c r="I47" s="19">
        <f t="shared" si="31"/>
        <v>5322988930.8800001</v>
      </c>
      <c r="J47" s="18">
        <f t="shared" ref="J47" si="47">SUM(J48:J52)</f>
        <v>3437796742.0900002</v>
      </c>
      <c r="K47" s="18">
        <f t="shared" ref="K47" si="48">SUM(K48:K52)</f>
        <v>2324594570.9699998</v>
      </c>
      <c r="L47" s="18">
        <f t="shared" ref="L47" si="49">SUM(L48:L52)</f>
        <v>2324594570.9699998</v>
      </c>
      <c r="M47" s="18">
        <f t="shared" ref="M47" si="50">SUM(M48:M52)</f>
        <v>2304938214.9699998</v>
      </c>
      <c r="N47" s="20">
        <f t="shared" si="4"/>
        <v>0.35548384735891397</v>
      </c>
      <c r="O47" s="20">
        <f t="shared" si="5"/>
        <v>0.24037367058986694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0</v>
      </c>
      <c r="E48" s="13">
        <v>0</v>
      </c>
      <c r="F48" s="14">
        <f t="shared" si="29"/>
        <v>1188000000</v>
      </c>
      <c r="G48" s="13">
        <v>0</v>
      </c>
      <c r="H48" s="13">
        <v>890093333</v>
      </c>
      <c r="I48" s="14">
        <f t="shared" si="31"/>
        <v>297906667</v>
      </c>
      <c r="J48" s="27">
        <v>158553813</v>
      </c>
      <c r="K48" s="27">
        <v>14060480</v>
      </c>
      <c r="L48" s="27">
        <v>14060480</v>
      </c>
      <c r="M48" s="27">
        <v>6260480</v>
      </c>
      <c r="N48" s="15">
        <f t="shared" si="4"/>
        <v>0.13346280555555556</v>
      </c>
      <c r="O48" s="15">
        <f t="shared" si="5"/>
        <v>1.1835420875420876E-2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0</v>
      </c>
      <c r="F49" s="14">
        <f t="shared" si="29"/>
        <v>6025950512</v>
      </c>
      <c r="G49" s="13">
        <v>0</v>
      </c>
      <c r="H49" s="13">
        <v>2558234128</v>
      </c>
      <c r="I49" s="14">
        <f t="shared" si="31"/>
        <v>3467716384</v>
      </c>
      <c r="J49" s="27">
        <v>2558134128</v>
      </c>
      <c r="K49" s="27">
        <v>2281295958</v>
      </c>
      <c r="L49" s="27">
        <v>2281295958</v>
      </c>
      <c r="M49" s="27">
        <v>2281295958</v>
      </c>
      <c r="N49" s="15">
        <f t="shared" si="4"/>
        <v>0.42451960448492976</v>
      </c>
      <c r="O49" s="15">
        <f t="shared" si="5"/>
        <v>0.37857860821409944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0</v>
      </c>
      <c r="E50" s="13">
        <v>0</v>
      </c>
      <c r="F50" s="14">
        <f t="shared" si="29"/>
        <v>1424556980</v>
      </c>
      <c r="G50" s="13">
        <v>0</v>
      </c>
      <c r="H50" s="13">
        <v>769437336.12</v>
      </c>
      <c r="I50" s="14">
        <f t="shared" si="31"/>
        <v>655119643.88</v>
      </c>
      <c r="J50" s="27">
        <v>697094624.09000003</v>
      </c>
      <c r="K50" s="27">
        <v>5223955.97</v>
      </c>
      <c r="L50" s="27">
        <v>5223955.97</v>
      </c>
      <c r="M50" s="27">
        <v>5223955.97</v>
      </c>
      <c r="N50" s="15">
        <f t="shared" si="4"/>
        <v>0.48934134181842276</v>
      </c>
      <c r="O50" s="15">
        <f t="shared" si="5"/>
        <v>3.6670740751977501E-3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0</v>
      </c>
      <c r="E51" s="13">
        <v>0</v>
      </c>
      <c r="F51" s="14">
        <f t="shared" si="29"/>
        <v>732246236</v>
      </c>
      <c r="G51" s="13">
        <v>0</v>
      </c>
      <c r="H51" s="13">
        <v>25000000</v>
      </c>
      <c r="I51" s="14">
        <f t="shared" si="31"/>
        <v>707246236</v>
      </c>
      <c r="J51" s="27">
        <v>1839360</v>
      </c>
      <c r="K51" s="27">
        <v>1839360</v>
      </c>
      <c r="L51" s="27">
        <v>1839360</v>
      </c>
      <c r="M51" s="27">
        <v>1839360</v>
      </c>
      <c r="N51" s="15">
        <f t="shared" si="4"/>
        <v>2.5119418981895594E-3</v>
      </c>
      <c r="O51" s="15">
        <f t="shared" si="5"/>
        <v>2.5119418981895594E-3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29"/>
        <v>300000000</v>
      </c>
      <c r="G52" s="13">
        <v>0</v>
      </c>
      <c r="H52" s="13">
        <v>105000000</v>
      </c>
      <c r="I52" s="14">
        <f t="shared" si="31"/>
        <v>195000000</v>
      </c>
      <c r="J52" s="27">
        <v>22174817</v>
      </c>
      <c r="K52" s="27">
        <v>22174817</v>
      </c>
      <c r="L52" s="27">
        <v>22174817</v>
      </c>
      <c r="M52" s="27">
        <v>10318461</v>
      </c>
      <c r="N52" s="15">
        <f t="shared" si="4"/>
        <v>7.391605666666666E-2</v>
      </c>
      <c r="O52" s="15">
        <f t="shared" si="5"/>
        <v>7.391605666666666E-2</v>
      </c>
    </row>
    <row r="53" spans="1:22" s="3" customFormat="1" x14ac:dyDescent="0.25">
      <c r="A53" s="60" t="s">
        <v>30</v>
      </c>
      <c r="B53" s="60"/>
      <c r="C53" s="8">
        <f>SUM(C54:C56)</f>
        <v>3649320000</v>
      </c>
      <c r="D53" s="8">
        <f>SUM(D54:D56)</f>
        <v>0</v>
      </c>
      <c r="E53" s="8">
        <f t="shared" ref="E53" si="51">SUM(E54:E56)</f>
        <v>0</v>
      </c>
      <c r="F53" s="8">
        <f>SUM(F54:F56)</f>
        <v>3649320000</v>
      </c>
      <c r="G53" s="8">
        <f t="shared" ref="G53:M53" si="52">SUM(G54:G56)</f>
        <v>2435000000</v>
      </c>
      <c r="H53" s="8">
        <f t="shared" si="52"/>
        <v>99860000</v>
      </c>
      <c r="I53" s="8">
        <f t="shared" si="52"/>
        <v>1114460000</v>
      </c>
      <c r="J53" s="8">
        <f t="shared" si="52"/>
        <v>4440660</v>
      </c>
      <c r="K53" s="8">
        <f t="shared" si="52"/>
        <v>4440660</v>
      </c>
      <c r="L53" s="8">
        <f t="shared" si="52"/>
        <v>4440660</v>
      </c>
      <c r="M53" s="8">
        <f t="shared" si="52"/>
        <v>4440660</v>
      </c>
      <c r="N53" s="9">
        <f t="shared" si="4"/>
        <v>1.2168458781362007E-3</v>
      </c>
      <c r="O53" s="10">
        <f t="shared" si="5"/>
        <v>1.2168458781362007E-3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6" si="53">+C54+D54-E54</f>
        <v>2435000000</v>
      </c>
      <c r="G54" s="30">
        <v>2435000000</v>
      </c>
      <c r="H54" s="30">
        <v>0</v>
      </c>
      <c r="I54" s="31">
        <f t="shared" ref="I54:I56" si="54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ht="22.5" x14ac:dyDescent="0.25">
      <c r="A55" s="11" t="s">
        <v>128</v>
      </c>
      <c r="B55" s="12" t="s">
        <v>131</v>
      </c>
      <c r="C55" s="13">
        <v>99860000</v>
      </c>
      <c r="D55" s="13">
        <v>0</v>
      </c>
      <c r="E55" s="13">
        <v>0</v>
      </c>
      <c r="F55" s="14">
        <f t="shared" si="53"/>
        <v>99860000</v>
      </c>
      <c r="G55" s="13">
        <v>0</v>
      </c>
      <c r="H55" s="13">
        <v>99860000</v>
      </c>
      <c r="I55" s="14">
        <f t="shared" si="54"/>
        <v>0</v>
      </c>
      <c r="J55" s="13">
        <v>4440660</v>
      </c>
      <c r="K55" s="13">
        <v>4440660</v>
      </c>
      <c r="L55" s="13">
        <v>4440660</v>
      </c>
      <c r="M55" s="13">
        <v>4440660</v>
      </c>
      <c r="N55" s="15">
        <f t="shared" si="4"/>
        <v>4.4468856398958541E-2</v>
      </c>
      <c r="O55" s="15">
        <f t="shared" si="5"/>
        <v>4.4468856398958541E-2</v>
      </c>
    </row>
    <row r="56" spans="1:22" x14ac:dyDescent="0.25">
      <c r="A56" s="11" t="s">
        <v>129</v>
      </c>
      <c r="B56" s="12" t="s">
        <v>132</v>
      </c>
      <c r="C56" s="13">
        <v>1114460000</v>
      </c>
      <c r="D56" s="13">
        <v>0</v>
      </c>
      <c r="E56" s="13">
        <v>0</v>
      </c>
      <c r="F56" s="14">
        <f t="shared" si="53"/>
        <v>1114460000</v>
      </c>
      <c r="G56" s="13">
        <v>0</v>
      </c>
      <c r="H56" s="13">
        <v>0</v>
      </c>
      <c r="I56" s="14">
        <f t="shared" si="54"/>
        <v>1114460000</v>
      </c>
      <c r="J56" s="13">
        <v>0</v>
      </c>
      <c r="K56" s="13">
        <v>0</v>
      </c>
      <c r="L56" s="13">
        <v>0</v>
      </c>
      <c r="M56" s="13">
        <v>0</v>
      </c>
      <c r="N56" s="15">
        <f t="shared" si="4"/>
        <v>0</v>
      </c>
      <c r="O56" s="15">
        <f t="shared" si="5"/>
        <v>0</v>
      </c>
    </row>
    <row r="57" spans="1:22" s="3" customFormat="1" x14ac:dyDescent="0.25">
      <c r="A57" s="60" t="s">
        <v>31</v>
      </c>
      <c r="B57" s="60"/>
      <c r="C57" s="8">
        <f>+C58+C62</f>
        <v>65700000</v>
      </c>
      <c r="D57" s="8">
        <f t="shared" ref="D57:M57" si="55">+D58+D62</f>
        <v>0</v>
      </c>
      <c r="E57" s="8">
        <f t="shared" si="55"/>
        <v>0</v>
      </c>
      <c r="F57" s="8">
        <f t="shared" si="55"/>
        <v>65700000</v>
      </c>
      <c r="G57" s="8">
        <f t="shared" si="55"/>
        <v>0</v>
      </c>
      <c r="H57" s="8">
        <f t="shared" si="55"/>
        <v>0</v>
      </c>
      <c r="I57" s="8">
        <f t="shared" si="55"/>
        <v>65700000</v>
      </c>
      <c r="J57" s="8">
        <f t="shared" si="55"/>
        <v>0</v>
      </c>
      <c r="K57" s="8">
        <f t="shared" si="55"/>
        <v>0</v>
      </c>
      <c r="L57" s="8">
        <f t="shared" si="55"/>
        <v>0</v>
      </c>
      <c r="M57" s="8">
        <f t="shared" si="55"/>
        <v>0</v>
      </c>
      <c r="N57" s="9">
        <f t="shared" si="4"/>
        <v>0</v>
      </c>
      <c r="O57" s="10">
        <f t="shared" si="5"/>
        <v>0</v>
      </c>
      <c r="P57" s="21"/>
      <c r="Q57" s="21"/>
      <c r="R57" s="21"/>
      <c r="S57" s="21"/>
      <c r="T57" s="21"/>
      <c r="U57" s="21"/>
      <c r="V57" s="21"/>
    </row>
    <row r="58" spans="1:22" x14ac:dyDescent="0.25">
      <c r="A58" s="16" t="s">
        <v>133</v>
      </c>
      <c r="B58" s="17" t="s">
        <v>134</v>
      </c>
      <c r="C58" s="18">
        <f>+C59</f>
        <v>10700000</v>
      </c>
      <c r="D58" s="18">
        <f t="shared" ref="D58:E58" si="56">+D59</f>
        <v>0</v>
      </c>
      <c r="E58" s="18">
        <f t="shared" si="56"/>
        <v>0</v>
      </c>
      <c r="F58" s="19">
        <f t="shared" ref="F58:F60" si="57">+C58+D58-E58</f>
        <v>10700000</v>
      </c>
      <c r="G58" s="18">
        <f t="shared" ref="G58" si="58">+G59</f>
        <v>0</v>
      </c>
      <c r="H58" s="18">
        <f t="shared" ref="H58" si="59">+H59</f>
        <v>0</v>
      </c>
      <c r="I58" s="19">
        <f t="shared" ref="I58:I60" si="60">+F58-G58-H58</f>
        <v>10700000</v>
      </c>
      <c r="J58" s="18">
        <f t="shared" ref="J58" si="61">+J59</f>
        <v>0</v>
      </c>
      <c r="K58" s="18">
        <f t="shared" ref="K58" si="62">+K59</f>
        <v>0</v>
      </c>
      <c r="L58" s="18">
        <f t="shared" ref="L58" si="63">+L59</f>
        <v>0</v>
      </c>
      <c r="M58" s="18">
        <f t="shared" ref="M58" si="64">+M59</f>
        <v>0</v>
      </c>
      <c r="N58" s="20">
        <f t="shared" si="4"/>
        <v>0</v>
      </c>
      <c r="O58" s="20">
        <f t="shared" si="5"/>
        <v>0</v>
      </c>
    </row>
    <row r="59" spans="1:22" x14ac:dyDescent="0.25">
      <c r="A59" s="16" t="s">
        <v>135</v>
      </c>
      <c r="B59" s="17" t="s">
        <v>136</v>
      </c>
      <c r="C59" s="18">
        <f>SUM(C60:C61)</f>
        <v>10700000</v>
      </c>
      <c r="D59" s="18">
        <f t="shared" ref="D59:E59" si="65">SUM(D60:D61)</f>
        <v>0</v>
      </c>
      <c r="E59" s="18">
        <f t="shared" si="65"/>
        <v>0</v>
      </c>
      <c r="F59" s="19">
        <f t="shared" si="57"/>
        <v>10700000</v>
      </c>
      <c r="G59" s="18">
        <f t="shared" ref="G59" si="66">SUM(G60:G61)</f>
        <v>0</v>
      </c>
      <c r="H59" s="18">
        <f t="shared" ref="H59" si="67">SUM(H60:H61)</f>
        <v>0</v>
      </c>
      <c r="I59" s="19">
        <f t="shared" si="60"/>
        <v>10700000</v>
      </c>
      <c r="J59" s="18">
        <f t="shared" ref="J59" si="68">SUM(J60:J61)</f>
        <v>0</v>
      </c>
      <c r="K59" s="18">
        <f t="shared" ref="K59" si="69">SUM(K60:K61)</f>
        <v>0</v>
      </c>
      <c r="L59" s="18">
        <f t="shared" ref="L59" si="70">SUM(L60:L61)</f>
        <v>0</v>
      </c>
      <c r="M59" s="18">
        <f t="shared" ref="M59" si="71">SUM(M60:M61)</f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1" t="s">
        <v>137</v>
      </c>
      <c r="B60" s="12" t="s">
        <v>139</v>
      </c>
      <c r="C60" s="13">
        <v>10350000</v>
      </c>
      <c r="D60" s="13">
        <v>0</v>
      </c>
      <c r="E60" s="13">
        <v>0</v>
      </c>
      <c r="F60" s="14">
        <f t="shared" si="57"/>
        <v>10350000</v>
      </c>
      <c r="G60" s="13">
        <v>0</v>
      </c>
      <c r="H60" s="13">
        <v>0</v>
      </c>
      <c r="I60" s="14">
        <f t="shared" si="60"/>
        <v>10350000</v>
      </c>
      <c r="J60" s="13">
        <v>0</v>
      </c>
      <c r="K60" s="13">
        <v>0</v>
      </c>
      <c r="L60" s="13">
        <v>0</v>
      </c>
      <c r="M60" s="13">
        <v>0</v>
      </c>
      <c r="N60" s="15">
        <f t="shared" si="4"/>
        <v>0</v>
      </c>
      <c r="O60" s="15">
        <f t="shared" si="5"/>
        <v>0</v>
      </c>
    </row>
    <row r="61" spans="1:22" x14ac:dyDescent="0.25">
      <c r="A61" s="11" t="s">
        <v>138</v>
      </c>
      <c r="B61" s="12" t="s">
        <v>140</v>
      </c>
      <c r="C61" s="13">
        <v>350000</v>
      </c>
      <c r="D61" s="13">
        <v>0</v>
      </c>
      <c r="E61" s="13">
        <v>0</v>
      </c>
      <c r="F61" s="14">
        <f t="shared" si="29"/>
        <v>350000</v>
      </c>
      <c r="G61" s="13">
        <v>0</v>
      </c>
      <c r="H61" s="13">
        <v>0</v>
      </c>
      <c r="I61" s="14">
        <f t="shared" si="31"/>
        <v>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6" t="s">
        <v>141</v>
      </c>
      <c r="B62" s="17" t="s">
        <v>142</v>
      </c>
      <c r="C62" s="18">
        <v>55000000</v>
      </c>
      <c r="D62" s="18">
        <v>0</v>
      </c>
      <c r="E62" s="18">
        <v>0</v>
      </c>
      <c r="F62" s="19">
        <f t="shared" si="29"/>
        <v>55000000</v>
      </c>
      <c r="G62" s="18">
        <v>0</v>
      </c>
      <c r="H62" s="18">
        <v>0</v>
      </c>
      <c r="I62" s="19">
        <f t="shared" si="31"/>
        <v>55000000</v>
      </c>
      <c r="J62" s="18">
        <v>0</v>
      </c>
      <c r="K62" s="18">
        <v>0</v>
      </c>
      <c r="L62" s="18">
        <v>0</v>
      </c>
      <c r="M62" s="18">
        <v>0</v>
      </c>
      <c r="N62" s="20">
        <f t="shared" si="4"/>
        <v>0</v>
      </c>
      <c r="O62" s="20">
        <f t="shared" si="5"/>
        <v>0</v>
      </c>
    </row>
    <row r="63" spans="1:22" x14ac:dyDescent="0.25">
      <c r="A63" s="60" t="s">
        <v>24</v>
      </c>
      <c r="B63" s="60"/>
      <c r="C63" s="8">
        <f t="shared" ref="C63:M63" si="72">SUM(C64:C69)</f>
        <v>7000000000</v>
      </c>
      <c r="D63" s="8">
        <f t="shared" si="72"/>
        <v>0</v>
      </c>
      <c r="E63" s="8">
        <f t="shared" si="72"/>
        <v>0</v>
      </c>
      <c r="F63" s="8">
        <f>SUM(F64:F69)</f>
        <v>7000000000</v>
      </c>
      <c r="G63" s="8">
        <f t="shared" si="72"/>
        <v>0</v>
      </c>
      <c r="H63" s="8">
        <f t="shared" si="72"/>
        <v>0</v>
      </c>
      <c r="I63" s="8">
        <f t="shared" si="72"/>
        <v>7000000000</v>
      </c>
      <c r="J63" s="8">
        <f t="shared" si="72"/>
        <v>0</v>
      </c>
      <c r="K63" s="8">
        <f t="shared" si="72"/>
        <v>0</v>
      </c>
      <c r="L63" s="8">
        <f t="shared" si="72"/>
        <v>0</v>
      </c>
      <c r="M63" s="8">
        <f t="shared" si="72"/>
        <v>0</v>
      </c>
      <c r="N63" s="9">
        <f t="shared" ref="N63:N70" si="73">+J63/F63</f>
        <v>0</v>
      </c>
      <c r="O63" s="10">
        <f t="shared" ref="O63:O70" si="74">+K63/F63</f>
        <v>0</v>
      </c>
    </row>
    <row r="64" spans="1:22" ht="22.5" x14ac:dyDescent="0.25">
      <c r="A64" s="11" t="s">
        <v>32</v>
      </c>
      <c r="B64" s="12" t="s">
        <v>38</v>
      </c>
      <c r="C64" s="13">
        <v>200000000</v>
      </c>
      <c r="D64" s="13">
        <v>0</v>
      </c>
      <c r="E64" s="13">
        <v>0</v>
      </c>
      <c r="F64" s="14">
        <f t="shared" ref="F64:F69" si="75">+C64+D64-E64</f>
        <v>200000000</v>
      </c>
      <c r="G64" s="13">
        <v>0</v>
      </c>
      <c r="H64" s="13">
        <v>0</v>
      </c>
      <c r="I64" s="14">
        <f t="shared" ref="I64:I69" si="76">+F64-G64-H64</f>
        <v>200000000</v>
      </c>
      <c r="J64" s="13">
        <v>0</v>
      </c>
      <c r="K64" s="13">
        <v>0</v>
      </c>
      <c r="L64" s="13">
        <v>0</v>
      </c>
      <c r="M64" s="13">
        <v>0</v>
      </c>
      <c r="N64" s="15">
        <f t="shared" ref="N64:N69" si="77">+J64/F64</f>
        <v>0</v>
      </c>
      <c r="O64" s="15">
        <f t="shared" ref="O64:O69" si="78">+K64/F64</f>
        <v>0</v>
      </c>
    </row>
    <row r="65" spans="1:15" ht="33.75" x14ac:dyDescent="0.25">
      <c r="A65" s="11" t="s">
        <v>33</v>
      </c>
      <c r="B65" s="12" t="s">
        <v>39</v>
      </c>
      <c r="C65" s="13">
        <v>1045900000</v>
      </c>
      <c r="D65" s="13">
        <v>0</v>
      </c>
      <c r="E65" s="13">
        <v>0</v>
      </c>
      <c r="F65" s="14">
        <f t="shared" si="75"/>
        <v>1045900000</v>
      </c>
      <c r="G65" s="13">
        <v>0</v>
      </c>
      <c r="H65" s="13">
        <v>0</v>
      </c>
      <c r="I65" s="14">
        <f t="shared" si="76"/>
        <v>1045900000</v>
      </c>
      <c r="J65" s="13">
        <v>0</v>
      </c>
      <c r="K65" s="13">
        <v>0</v>
      </c>
      <c r="L65" s="13">
        <v>0</v>
      </c>
      <c r="M65" s="13">
        <v>0</v>
      </c>
      <c r="N65" s="15">
        <f t="shared" si="77"/>
        <v>0</v>
      </c>
      <c r="O65" s="15">
        <f t="shared" si="78"/>
        <v>0</v>
      </c>
    </row>
    <row r="66" spans="1:15" ht="56.25" x14ac:dyDescent="0.25">
      <c r="A66" s="11" t="s">
        <v>34</v>
      </c>
      <c r="B66" s="12" t="s">
        <v>40</v>
      </c>
      <c r="C66" s="13">
        <v>2825211185</v>
      </c>
      <c r="D66" s="13">
        <v>0</v>
      </c>
      <c r="E66" s="13">
        <v>0</v>
      </c>
      <c r="F66" s="14">
        <f t="shared" si="75"/>
        <v>2825211185</v>
      </c>
      <c r="G66" s="13">
        <v>0</v>
      </c>
      <c r="H66" s="13">
        <v>0</v>
      </c>
      <c r="I66" s="14">
        <f t="shared" si="76"/>
        <v>2825211185</v>
      </c>
      <c r="J66" s="13">
        <v>0</v>
      </c>
      <c r="K66" s="13">
        <v>0</v>
      </c>
      <c r="L66" s="13">
        <v>0</v>
      </c>
      <c r="M66" s="13">
        <v>0</v>
      </c>
      <c r="N66" s="15">
        <f t="shared" si="77"/>
        <v>0</v>
      </c>
      <c r="O66" s="15">
        <f t="shared" si="78"/>
        <v>0</v>
      </c>
    </row>
    <row r="67" spans="1:15" ht="45" x14ac:dyDescent="0.25">
      <c r="A67" s="11" t="s">
        <v>35</v>
      </c>
      <c r="B67" s="12" t="s">
        <v>41</v>
      </c>
      <c r="C67" s="13">
        <v>2400000000</v>
      </c>
      <c r="D67" s="13">
        <v>0</v>
      </c>
      <c r="E67" s="13">
        <v>0</v>
      </c>
      <c r="F67" s="14">
        <f t="shared" si="75"/>
        <v>2400000000</v>
      </c>
      <c r="G67" s="13">
        <v>0</v>
      </c>
      <c r="H67" s="13">
        <v>0</v>
      </c>
      <c r="I67" s="14">
        <f t="shared" si="76"/>
        <v>2400000000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77"/>
        <v>0</v>
      </c>
      <c r="O67" s="15">
        <f t="shared" si="78"/>
        <v>0</v>
      </c>
    </row>
    <row r="68" spans="1:15" ht="33.75" x14ac:dyDescent="0.25">
      <c r="A68" s="11" t="s">
        <v>36</v>
      </c>
      <c r="B68" s="12" t="s">
        <v>42</v>
      </c>
      <c r="C68" s="13">
        <v>200000000</v>
      </c>
      <c r="D68" s="13">
        <v>0</v>
      </c>
      <c r="E68" s="13">
        <v>0</v>
      </c>
      <c r="F68" s="14">
        <f t="shared" si="75"/>
        <v>200000000</v>
      </c>
      <c r="G68" s="13">
        <v>0</v>
      </c>
      <c r="H68" s="13">
        <v>0</v>
      </c>
      <c r="I68" s="14">
        <f t="shared" si="76"/>
        <v>200000000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77"/>
        <v>0</v>
      </c>
      <c r="O68" s="15">
        <f t="shared" si="78"/>
        <v>0</v>
      </c>
    </row>
    <row r="69" spans="1:15" ht="33.75" x14ac:dyDescent="0.25">
      <c r="A69" s="11" t="s">
        <v>37</v>
      </c>
      <c r="B69" s="12" t="s">
        <v>43</v>
      </c>
      <c r="C69" s="13">
        <v>328888815</v>
      </c>
      <c r="D69" s="13">
        <v>0</v>
      </c>
      <c r="E69" s="13">
        <v>0</v>
      </c>
      <c r="F69" s="14">
        <f t="shared" si="75"/>
        <v>328888815</v>
      </c>
      <c r="G69" s="13">
        <v>0</v>
      </c>
      <c r="H69" s="13">
        <v>0</v>
      </c>
      <c r="I69" s="14">
        <f t="shared" si="76"/>
        <v>328888815</v>
      </c>
      <c r="J69" s="13">
        <v>0</v>
      </c>
      <c r="K69" s="13">
        <v>0</v>
      </c>
      <c r="L69" s="13">
        <v>0</v>
      </c>
      <c r="M69" s="13">
        <v>0</v>
      </c>
      <c r="N69" s="15">
        <f t="shared" si="77"/>
        <v>0</v>
      </c>
      <c r="O69" s="15">
        <f t="shared" si="78"/>
        <v>0</v>
      </c>
    </row>
    <row r="70" spans="1:15" x14ac:dyDescent="0.25">
      <c r="A70" s="60" t="s">
        <v>143</v>
      </c>
      <c r="B70" s="60" t="s">
        <v>0</v>
      </c>
      <c r="C70" s="7">
        <f t="shared" ref="C70:M70" si="79">+C5+C63</f>
        <v>36191962728</v>
      </c>
      <c r="D70" s="8">
        <f t="shared" si="79"/>
        <v>0</v>
      </c>
      <c r="E70" s="8">
        <f t="shared" si="79"/>
        <v>0</v>
      </c>
      <c r="F70" s="8">
        <f t="shared" si="79"/>
        <v>36191962728</v>
      </c>
      <c r="G70" s="8">
        <f t="shared" si="79"/>
        <v>2861504000</v>
      </c>
      <c r="H70" s="8">
        <f t="shared" si="79"/>
        <v>19626109797.119999</v>
      </c>
      <c r="I70" s="8">
        <f t="shared" si="79"/>
        <v>13704348930.880001</v>
      </c>
      <c r="J70" s="8">
        <f t="shared" si="79"/>
        <v>4426465860.0900002</v>
      </c>
      <c r="K70" s="8">
        <f t="shared" si="79"/>
        <v>3288611308.9699998</v>
      </c>
      <c r="L70" s="8">
        <f t="shared" si="79"/>
        <v>3288611308.9699998</v>
      </c>
      <c r="M70" s="8">
        <f t="shared" si="79"/>
        <v>3262786875.9699998</v>
      </c>
      <c r="N70" s="9">
        <f t="shared" si="73"/>
        <v>0.12230521713776672</v>
      </c>
      <c r="O70" s="10">
        <f t="shared" si="74"/>
        <v>9.0865790664228271E-2</v>
      </c>
    </row>
    <row r="71" spans="1:15" x14ac:dyDescent="0.25">
      <c r="A71" s="4" t="s">
        <v>25</v>
      </c>
    </row>
    <row r="72" spans="1:15" x14ac:dyDescent="0.25">
      <c r="M72" s="5"/>
    </row>
  </sheetData>
  <mergeCells count="10">
    <mergeCell ref="A63:B63"/>
    <mergeCell ref="A70:B70"/>
    <mergeCell ref="A1:O1"/>
    <mergeCell ref="A2:O2"/>
    <mergeCell ref="A3:O3"/>
    <mergeCell ref="A5:B5"/>
    <mergeCell ref="A6:B6"/>
    <mergeCell ref="A37:B37"/>
    <mergeCell ref="A53:B53"/>
    <mergeCell ref="A57:B57"/>
  </mergeCells>
  <printOptions horizontalCentered="1"/>
  <pageMargins left="0" right="0" top="0.98425196850393704" bottom="0.78740157480314965" header="0.31496062992125984" footer="0.31496062992125984"/>
  <pageSetup paperSize="14" scale="73" orientation="landscape" r:id="rId1"/>
  <ignoredErrors>
    <ignoredError sqref="C7:F29 I7:I29 F38:F47 I38:I47 F58 I58" formula="1"/>
    <ignoredError sqref="C30:F30 I30 F59 I59" formula="1" formulaRange="1"/>
    <ignoredError sqref="G30:H30 J30:M30 C59:E59 G59:H59 J59:M5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2320857940</v>
      </c>
      <c r="E5" s="7">
        <f t="shared" si="0"/>
        <v>2320857940</v>
      </c>
      <c r="F5" s="7">
        <f t="shared" si="0"/>
        <v>29191962728</v>
      </c>
      <c r="G5" s="7">
        <f t="shared" si="0"/>
        <v>2435000000</v>
      </c>
      <c r="H5" s="7">
        <f t="shared" si="0"/>
        <v>24816491210.529999</v>
      </c>
      <c r="I5" s="7">
        <f t="shared" si="0"/>
        <v>1940471517.4699993</v>
      </c>
      <c r="J5" s="7">
        <f t="shared" si="0"/>
        <v>20910895389.349998</v>
      </c>
      <c r="K5" s="7">
        <f t="shared" si="0"/>
        <v>19162915271.200001</v>
      </c>
      <c r="L5" s="7">
        <f t="shared" si="0"/>
        <v>19147091018.200001</v>
      </c>
      <c r="M5" s="7">
        <f t="shared" si="0"/>
        <v>19147091018.200001</v>
      </c>
      <c r="N5" s="9">
        <f>+J5/F5</f>
        <v>0.71632372184734716</v>
      </c>
      <c r="O5" s="10">
        <f>+K5/F5</f>
        <v>0.65644490744774564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11374766108</v>
      </c>
      <c r="K6" s="7">
        <f t="shared" si="1"/>
        <v>11374203476</v>
      </c>
      <c r="L6" s="7">
        <f t="shared" si="1"/>
        <v>11374203476</v>
      </c>
      <c r="M6" s="7">
        <f>+M7+M36+M37</f>
        <v>11374203476</v>
      </c>
      <c r="N6" s="9">
        <f>+J6/F6</f>
        <v>0.73012568934108191</v>
      </c>
      <c r="O6" s="10">
        <f>+K6/F6</f>
        <v>0.73008957500932814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11374766108</v>
      </c>
      <c r="K7" s="18">
        <f>+K8+K20+K30</f>
        <v>11374203476</v>
      </c>
      <c r="L7" s="18">
        <f>+L8+L20+L30</f>
        <v>11374203476</v>
      </c>
      <c r="M7" s="18">
        <f>+M8+M20+M30</f>
        <v>11374203476</v>
      </c>
      <c r="N7" s="20">
        <f>+J7/F7</f>
        <v>0.75067660338745246</v>
      </c>
      <c r="O7" s="20">
        <f>+K7/F7</f>
        <v>0.75063947254232499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7710032046</v>
      </c>
      <c r="K8" s="18">
        <f>+K9</f>
        <v>7709509677</v>
      </c>
      <c r="L8" s="18">
        <f>+L9</f>
        <v>7709509677</v>
      </c>
      <c r="M8" s="18">
        <f>+M9</f>
        <v>7709509677</v>
      </c>
      <c r="N8" s="20">
        <f t="shared" ref="N8:N86" si="4">+J8/F8</f>
        <v>0.74541598109145657</v>
      </c>
      <c r="O8" s="20">
        <f t="shared" ref="O8:O86" si="5">+K8/F8</f>
        <v>0.74536547777340245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7710032046</v>
      </c>
      <c r="K9" s="18">
        <f>SUM(K10:K19)</f>
        <v>7709509677</v>
      </c>
      <c r="L9" s="18">
        <f>SUM(L10:L19)</f>
        <v>7709509677</v>
      </c>
      <c r="M9" s="18">
        <f>SUM(M10:M19)</f>
        <v>7709509677</v>
      </c>
      <c r="N9" s="20">
        <f t="shared" si="4"/>
        <v>0.74541598109145657</v>
      </c>
      <c r="O9" s="20">
        <f t="shared" si="5"/>
        <v>0.74536547777340245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6443476917</v>
      </c>
      <c r="K10" s="13">
        <v>6443043306</v>
      </c>
      <c r="L10" s="13">
        <v>6443043306</v>
      </c>
      <c r="M10" s="13">
        <v>6443043306</v>
      </c>
      <c r="N10" s="15">
        <f t="shared" si="4"/>
        <v>0.84085565927182571</v>
      </c>
      <c r="O10" s="15">
        <f t="shared" si="5"/>
        <v>0.84079907425290357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58954130</v>
      </c>
      <c r="K11" s="13">
        <v>58954130</v>
      </c>
      <c r="L11" s="13">
        <v>58954130</v>
      </c>
      <c r="M11" s="13">
        <v>58954130</v>
      </c>
      <c r="N11" s="15">
        <f t="shared" si="4"/>
        <v>0.80759082191780818</v>
      </c>
      <c r="O11" s="15">
        <f t="shared" si="5"/>
        <v>0.80759082191780818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400296497</v>
      </c>
      <c r="K12" s="13">
        <v>400296497</v>
      </c>
      <c r="L12" s="13">
        <v>400296497</v>
      </c>
      <c r="M12" s="13">
        <v>400296497</v>
      </c>
      <c r="N12" s="15">
        <f t="shared" si="4"/>
        <v>0.7698009557692308</v>
      </c>
      <c r="O12" s="15">
        <f t="shared" si="5"/>
        <v>0.7698009557692308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10951246</v>
      </c>
      <c r="K13" s="13">
        <v>10951246</v>
      </c>
      <c r="L13" s="13">
        <v>10951246</v>
      </c>
      <c r="M13" s="13">
        <v>10951246</v>
      </c>
      <c r="N13" s="15">
        <f t="shared" si="4"/>
        <v>0.78223185714285715</v>
      </c>
      <c r="O13" s="15">
        <f t="shared" si="5"/>
        <v>0.78223185714285715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347576679</v>
      </c>
      <c r="K15" s="13">
        <v>347516679</v>
      </c>
      <c r="L15" s="13">
        <v>347516679</v>
      </c>
      <c r="M15" s="13">
        <v>347516679</v>
      </c>
      <c r="N15" s="15">
        <f t="shared" si="4"/>
        <v>0.8603383143564356</v>
      </c>
      <c r="O15" s="15">
        <f t="shared" si="5"/>
        <v>0.86018979950495045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194490762</v>
      </c>
      <c r="K16" s="13">
        <v>194490762</v>
      </c>
      <c r="L16" s="13">
        <v>194490762</v>
      </c>
      <c r="M16" s="13">
        <v>194490762</v>
      </c>
      <c r="N16" s="15">
        <f t="shared" si="4"/>
        <v>0.67766816027874566</v>
      </c>
      <c r="O16" s="15">
        <f t="shared" si="5"/>
        <v>0.67766816027874566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36510640</v>
      </c>
      <c r="K17" s="13">
        <v>36510640</v>
      </c>
      <c r="L17" s="13">
        <v>36510640</v>
      </c>
      <c r="M17" s="13">
        <v>36510640</v>
      </c>
      <c r="N17" s="15">
        <f t="shared" si="4"/>
        <v>0.60851066666666664</v>
      </c>
      <c r="O17" s="15">
        <f t="shared" si="5"/>
        <v>0.60851066666666664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6433838</v>
      </c>
      <c r="K18" s="13">
        <v>6433838</v>
      </c>
      <c r="L18" s="13">
        <v>6433838</v>
      </c>
      <c r="M18" s="13">
        <v>6433838</v>
      </c>
      <c r="N18" s="15">
        <f t="shared" si="4"/>
        <v>7.7516120481927707E-3</v>
      </c>
      <c r="O18" s="15">
        <f t="shared" si="5"/>
        <v>7.7516120481927707E-3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211341337</v>
      </c>
      <c r="K19" s="13">
        <v>211312579</v>
      </c>
      <c r="L19" s="13">
        <v>211312579</v>
      </c>
      <c r="M19" s="13">
        <v>211312579</v>
      </c>
      <c r="N19" s="15">
        <f t="shared" si="4"/>
        <v>0.43373333182832197</v>
      </c>
      <c r="O19" s="15">
        <f t="shared" si="5"/>
        <v>0.43367431212430302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2968524532</v>
      </c>
      <c r="K20" s="18">
        <f t="shared" ref="K20:M20" si="9">SUM(K21:K29)</f>
        <v>2968524532</v>
      </c>
      <c r="L20" s="18">
        <f t="shared" si="9"/>
        <v>2968524532</v>
      </c>
      <c r="M20" s="18">
        <f t="shared" si="9"/>
        <v>2968524532</v>
      </c>
      <c r="N20" s="20">
        <f t="shared" si="4"/>
        <v>0.78726796062021931</v>
      </c>
      <c r="O20" s="20">
        <f t="shared" si="5"/>
        <v>0.78726796062021931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909706001</v>
      </c>
      <c r="K21" s="13">
        <v>909706001</v>
      </c>
      <c r="L21" s="13">
        <v>909706001</v>
      </c>
      <c r="M21" s="13">
        <v>909706001</v>
      </c>
      <c r="N21" s="15">
        <f t="shared" si="4"/>
        <v>0.83408302908498111</v>
      </c>
      <c r="O21" s="15">
        <f t="shared" si="5"/>
        <v>0.83408302908498111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644408915</v>
      </c>
      <c r="K22" s="13">
        <v>644408915</v>
      </c>
      <c r="L22" s="13">
        <v>644408915</v>
      </c>
      <c r="M22" s="13">
        <v>644408915</v>
      </c>
      <c r="N22" s="15">
        <f t="shared" si="4"/>
        <v>0.8261652756410256</v>
      </c>
      <c r="O22" s="15">
        <f t="shared" si="5"/>
        <v>0.8261652756410256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662609716</v>
      </c>
      <c r="K23" s="13">
        <v>662609716</v>
      </c>
      <c r="L23" s="13">
        <v>662609716</v>
      </c>
      <c r="M23" s="13">
        <v>662609716</v>
      </c>
      <c r="N23" s="15">
        <f t="shared" si="4"/>
        <v>0.76162036321839077</v>
      </c>
      <c r="O23" s="15">
        <f t="shared" si="5"/>
        <v>0.76162036321839077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315327900</v>
      </c>
      <c r="K24" s="13">
        <v>315327900</v>
      </c>
      <c r="L24" s="13">
        <v>315327900</v>
      </c>
      <c r="M24" s="13">
        <v>315327900</v>
      </c>
      <c r="N24" s="15">
        <f t="shared" si="4"/>
        <v>0.78831974999999999</v>
      </c>
      <c r="O24" s="15">
        <f t="shared" si="5"/>
        <v>0.78831974999999999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42078100</v>
      </c>
      <c r="K25" s="13">
        <v>42078100</v>
      </c>
      <c r="L25" s="13">
        <v>42078100</v>
      </c>
      <c r="M25" s="13">
        <v>42078100</v>
      </c>
      <c r="N25" s="15">
        <f t="shared" si="4"/>
        <v>0.60111571428571431</v>
      </c>
      <c r="O25" s="15">
        <f t="shared" si="5"/>
        <v>0.60111571428571431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236497800</v>
      </c>
      <c r="K26" s="13">
        <v>236497800</v>
      </c>
      <c r="L26" s="13">
        <v>236497800</v>
      </c>
      <c r="M26" s="13">
        <v>236497800</v>
      </c>
      <c r="N26" s="15">
        <f t="shared" si="4"/>
        <v>0.78832599999999997</v>
      </c>
      <c r="O26" s="15">
        <f t="shared" si="5"/>
        <v>0.78832599999999997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39495800</v>
      </c>
      <c r="K27" s="13">
        <v>39495800</v>
      </c>
      <c r="L27" s="13">
        <v>39495800</v>
      </c>
      <c r="M27" s="13">
        <v>39495800</v>
      </c>
      <c r="N27" s="15">
        <f t="shared" si="4"/>
        <v>0.56422571428571433</v>
      </c>
      <c r="O27" s="15">
        <f t="shared" si="5"/>
        <v>0.56422571428571433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39495800</v>
      </c>
      <c r="K28" s="13">
        <v>39495800</v>
      </c>
      <c r="L28" s="13">
        <v>39495800</v>
      </c>
      <c r="M28" s="13">
        <v>39495800</v>
      </c>
      <c r="N28" s="15">
        <f t="shared" si="4"/>
        <v>0.56422571428571433</v>
      </c>
      <c r="O28" s="15">
        <f t="shared" si="5"/>
        <v>0.56422571428571433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78904500</v>
      </c>
      <c r="K29" s="13">
        <v>78904500</v>
      </c>
      <c r="L29" s="13">
        <v>78904500</v>
      </c>
      <c r="M29" s="13">
        <v>78904500</v>
      </c>
      <c r="N29" s="15">
        <f t="shared" si="4"/>
        <v>0.6575375</v>
      </c>
      <c r="O29" s="15">
        <f t="shared" si="5"/>
        <v>0.6575375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696209530</v>
      </c>
      <c r="K30" s="18">
        <f t="shared" ref="K30:M30" si="13">SUM(K31:K35)</f>
        <v>696169267</v>
      </c>
      <c r="L30" s="18">
        <f t="shared" si="13"/>
        <v>696169267</v>
      </c>
      <c r="M30" s="18">
        <f t="shared" si="13"/>
        <v>696169267</v>
      </c>
      <c r="N30" s="20">
        <f t="shared" si="4"/>
        <v>0.6702326528411815</v>
      </c>
      <c r="O30" s="20">
        <f t="shared" si="5"/>
        <v>0.67019389212886926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269313618</v>
      </c>
      <c r="K31" s="13">
        <v>269273355</v>
      </c>
      <c r="L31" s="13">
        <v>269273355</v>
      </c>
      <c r="M31" s="13">
        <v>269273355</v>
      </c>
      <c r="N31" s="15">
        <f t="shared" si="4"/>
        <v>0.55384376102798738</v>
      </c>
      <c r="O31" s="15">
        <f t="shared" si="5"/>
        <v>0.55376096012279774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84748778</v>
      </c>
      <c r="K32" s="13">
        <v>84748778</v>
      </c>
      <c r="L32" s="13">
        <v>84748778</v>
      </c>
      <c r="M32" s="13">
        <v>84748778</v>
      </c>
      <c r="N32" s="15">
        <f t="shared" si="4"/>
        <v>0.74998918584070795</v>
      </c>
      <c r="O32" s="15">
        <f t="shared" si="5"/>
        <v>0.74998918584070795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24900227</v>
      </c>
      <c r="K33" s="13">
        <v>24900227</v>
      </c>
      <c r="L33" s="13">
        <v>24900227</v>
      </c>
      <c r="M33" s="13">
        <v>24900227</v>
      </c>
      <c r="N33" s="15">
        <f t="shared" si="4"/>
        <v>0.52367729574668553</v>
      </c>
      <c r="O33" s="15">
        <f t="shared" si="5"/>
        <v>0.52367729574668553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258255377</v>
      </c>
      <c r="K34" s="13">
        <v>258255377</v>
      </c>
      <c r="L34" s="13">
        <v>258255377</v>
      </c>
      <c r="M34" s="13">
        <v>258255377</v>
      </c>
      <c r="N34" s="15">
        <f t="shared" si="4"/>
        <v>0.80971403659047414</v>
      </c>
      <c r="O34" s="15">
        <f t="shared" si="5"/>
        <v>0.80971403659047414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58991530</v>
      </c>
      <c r="K35" s="13">
        <v>58991530</v>
      </c>
      <c r="L35" s="13">
        <v>58991530</v>
      </c>
      <c r="M35" s="13">
        <v>58991530</v>
      </c>
      <c r="N35" s="15">
        <f t="shared" si="4"/>
        <v>0.80810315068493155</v>
      </c>
      <c r="O35" s="15">
        <f t="shared" si="5"/>
        <v>0.80810315068493155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1269856600</v>
      </c>
      <c r="E38" s="8">
        <f t="shared" si="14"/>
        <v>1271914600</v>
      </c>
      <c r="F38" s="8">
        <f t="shared" si="14"/>
        <v>9895695728</v>
      </c>
      <c r="G38" s="8">
        <f t="shared" si="14"/>
        <v>0</v>
      </c>
      <c r="H38" s="8">
        <f t="shared" si="14"/>
        <v>9551188210.5300007</v>
      </c>
      <c r="I38" s="8">
        <f t="shared" si="14"/>
        <v>344507517.46999931</v>
      </c>
      <c r="J38" s="8">
        <f t="shared" si="14"/>
        <v>9450957922.3499985</v>
      </c>
      <c r="K38" s="8">
        <f t="shared" si="14"/>
        <v>7703767570.1999998</v>
      </c>
      <c r="L38" s="8">
        <f t="shared" si="14"/>
        <v>7687943317.1999998</v>
      </c>
      <c r="M38" s="8">
        <f t="shared" si="14"/>
        <v>7687943317.1999998</v>
      </c>
      <c r="N38" s="9">
        <f t="shared" si="4"/>
        <v>0.95505744943312976</v>
      </c>
      <c r="O38" s="10">
        <f t="shared" si="5"/>
        <v>0.77849681133607307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84020308.5</v>
      </c>
      <c r="I39" s="19">
        <f t="shared" ref="I39:I48" si="18">+F39-G39-H39</f>
        <v>48921691.5</v>
      </c>
      <c r="J39" s="18">
        <f t="shared" ref="J39:M39" si="19">+J40</f>
        <v>79895308.5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0.60097868619397932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84020308.5</v>
      </c>
      <c r="I40" s="19">
        <f t="shared" si="18"/>
        <v>48921691.5</v>
      </c>
      <c r="J40" s="18">
        <f t="shared" ref="J40:M40" si="22">SUM(J41:J42)</f>
        <v>79895308.5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0.60097868619397932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3935000</v>
      </c>
      <c r="I41" s="14">
        <v>48921600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7.4446710533783864E-2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9467167902.0300007</v>
      </c>
      <c r="I43" s="19">
        <f t="shared" si="18"/>
        <v>295585825.96999931</v>
      </c>
      <c r="J43" s="18">
        <f t="shared" ref="J43:M43" si="25">+J44+J48</f>
        <v>9371062613.8499985</v>
      </c>
      <c r="K43" s="18">
        <f t="shared" si="25"/>
        <v>7623872261.6999998</v>
      </c>
      <c r="L43" s="18">
        <f t="shared" si="25"/>
        <v>7608048008.6999998</v>
      </c>
      <c r="M43" s="18">
        <f t="shared" si="25"/>
        <v>7608048008.6999998</v>
      </c>
      <c r="N43" s="20">
        <f t="shared" si="4"/>
        <v>0.95987903361460258</v>
      </c>
      <c r="O43" s="20">
        <f t="shared" si="5"/>
        <v>0.78091412260399484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135887180.53999999</v>
      </c>
      <c r="I44" s="19">
        <f t="shared" si="18"/>
        <v>28112819.460000008</v>
      </c>
      <c r="J44" s="18">
        <f t="shared" ref="J44" si="27">SUM(J45:J47)</f>
        <v>130502758.97999999</v>
      </c>
      <c r="K44" s="18">
        <f t="shared" ref="K44:M44" si="28">SUM(K45:K47)</f>
        <v>99593960.210000008</v>
      </c>
      <c r="L44" s="18">
        <f t="shared" si="28"/>
        <v>93825450.210000008</v>
      </c>
      <c r="M44" s="18">
        <f t="shared" si="28"/>
        <v>93825450.210000008</v>
      </c>
      <c r="N44" s="20">
        <f t="shared" si="4"/>
        <v>0.79574853036585358</v>
      </c>
      <c r="O44" s="20">
        <f t="shared" si="5"/>
        <v>0.60728024518292689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1380940</v>
      </c>
      <c r="L45" s="13">
        <v>1380940</v>
      </c>
      <c r="M45" s="13">
        <v>1380940</v>
      </c>
      <c r="N45" s="15">
        <f t="shared" si="4"/>
        <v>0.42674785714285712</v>
      </c>
      <c r="O45" s="15">
        <f t="shared" si="5"/>
        <v>4.9319285714285711E-2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49644879</v>
      </c>
      <c r="L46" s="13">
        <v>43876369</v>
      </c>
      <c r="M46" s="13">
        <v>43876369</v>
      </c>
      <c r="N46" s="15">
        <f t="shared" si="4"/>
        <v>0.88378655223880598</v>
      </c>
      <c r="O46" s="15">
        <f t="shared" si="5"/>
        <v>0.74096834328358208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64724541.539999999</v>
      </c>
      <c r="I47" s="14">
        <v>4275458.46</v>
      </c>
      <c r="J47" s="13">
        <v>59340119.979999997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0.86000173884057962</v>
      </c>
      <c r="O47" s="15">
        <f t="shared" si="5"/>
        <v>0.70388610449275368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9331280721.4899998</v>
      </c>
      <c r="I48" s="19">
        <f t="shared" si="18"/>
        <v>267473006.51000023</v>
      </c>
      <c r="J48" s="18">
        <f t="shared" ref="J48:M48" si="31">SUM(J49:J53)</f>
        <v>9240559854.8699989</v>
      </c>
      <c r="K48" s="18">
        <f t="shared" si="31"/>
        <v>7524278301.4899998</v>
      </c>
      <c r="L48" s="18">
        <f t="shared" si="31"/>
        <v>7514222558.4899998</v>
      </c>
      <c r="M48" s="18">
        <f t="shared" si="31"/>
        <v>7514222558.4899998</v>
      </c>
      <c r="N48" s="20">
        <f t="shared" si="4"/>
        <v>0.96268329376082096</v>
      </c>
      <c r="O48" s="20">
        <f t="shared" si="5"/>
        <v>0.78388075313791405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1150302901</v>
      </c>
      <c r="I49" s="14">
        <v>12697099</v>
      </c>
      <c r="J49" s="27">
        <v>1139697206</v>
      </c>
      <c r="K49" s="27">
        <v>703459423</v>
      </c>
      <c r="L49" s="27">
        <v>702104823</v>
      </c>
      <c r="M49" s="27">
        <v>702104823</v>
      </c>
      <c r="N49" s="15">
        <f t="shared" si="4"/>
        <v>0.97996320378331903</v>
      </c>
      <c r="O49" s="15">
        <f t="shared" si="5"/>
        <v>0.60486622785898536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4938180246</v>
      </c>
      <c r="I50" s="14">
        <v>87770266</v>
      </c>
      <c r="J50" s="27">
        <v>4923294504</v>
      </c>
      <c r="K50" s="27">
        <v>4893758728</v>
      </c>
      <c r="L50" s="27">
        <v>4893758728</v>
      </c>
      <c r="M50" s="27">
        <v>4893758728</v>
      </c>
      <c r="N50" s="15">
        <f t="shared" si="4"/>
        <v>0.979574807241954</v>
      </c>
      <c r="O50" s="15">
        <f t="shared" si="5"/>
        <v>0.97369815248192793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1957826178.49</v>
      </c>
      <c r="I51" s="14">
        <v>102730801.51000001</v>
      </c>
      <c r="J51" s="27">
        <v>1941012115.8699999</v>
      </c>
      <c r="K51" s="27">
        <v>1309487949.49</v>
      </c>
      <c r="L51" s="27">
        <v>1309059985.49</v>
      </c>
      <c r="M51" s="27">
        <v>1309059985.49</v>
      </c>
      <c r="N51" s="15">
        <f t="shared" si="4"/>
        <v>0.94198419879172668</v>
      </c>
      <c r="O51" s="15">
        <f t="shared" si="5"/>
        <v>0.63550193573875347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968660736</v>
      </c>
      <c r="I52" s="14">
        <v>50585500</v>
      </c>
      <c r="J52" s="27">
        <v>949176442</v>
      </c>
      <c r="K52" s="27">
        <v>330192614</v>
      </c>
      <c r="L52" s="27">
        <v>321919435</v>
      </c>
      <c r="M52" s="27">
        <v>321919435</v>
      </c>
      <c r="N52" s="15">
        <f t="shared" si="4"/>
        <v>0.93125332081187107</v>
      </c>
      <c r="O52" s="15">
        <f t="shared" si="5"/>
        <v>0.32395764864026438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316310660</v>
      </c>
      <c r="I53" s="14">
        <v>13689340</v>
      </c>
      <c r="J53" s="27">
        <v>287379587</v>
      </c>
      <c r="K53" s="27">
        <v>287379587</v>
      </c>
      <c r="L53" s="27">
        <v>287379587</v>
      </c>
      <c r="M53" s="27">
        <v>287379587</v>
      </c>
      <c r="N53" s="15">
        <f t="shared" si="4"/>
        <v>0.87084723333333336</v>
      </c>
      <c r="O53" s="15">
        <f t="shared" si="5"/>
        <v>0.87084723333333336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72413359</v>
      </c>
      <c r="K54" s="8">
        <f t="shared" si="33"/>
        <v>72186225</v>
      </c>
      <c r="L54" s="8">
        <f t="shared" si="33"/>
        <v>72186225</v>
      </c>
      <c r="M54" s="8">
        <f t="shared" si="33"/>
        <v>72186225</v>
      </c>
      <c r="N54" s="9">
        <f t="shared" si="4"/>
        <v>1.9842973211447613E-2</v>
      </c>
      <c r="O54" s="10">
        <f t="shared" si="5"/>
        <v>1.9780733122883167E-2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62540911</v>
      </c>
      <c r="K56" s="13">
        <v>62313777</v>
      </c>
      <c r="L56" s="13">
        <v>62313777</v>
      </c>
      <c r="M56" s="13">
        <v>62313777</v>
      </c>
      <c r="N56" s="15">
        <f t="shared" si="4"/>
        <v>0.78313186826947156</v>
      </c>
      <c r="O56" s="15">
        <f t="shared" si="5"/>
        <v>0.78028771600300528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9872448</v>
      </c>
      <c r="K57" s="13">
        <v>9872448</v>
      </c>
      <c r="L57" s="13">
        <v>9872448</v>
      </c>
      <c r="M57" s="13">
        <v>9872448</v>
      </c>
      <c r="N57" s="15">
        <f t="shared" si="4"/>
        <v>0.49362240000000002</v>
      </c>
      <c r="O57" s="15">
        <f t="shared" si="5"/>
        <v>0.49362240000000002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5889271709.54</v>
      </c>
      <c r="I65" s="8">
        <f t="shared" si="43"/>
        <v>1110728290.46</v>
      </c>
      <c r="J65" s="8">
        <f t="shared" si="43"/>
        <v>5076716325.54</v>
      </c>
      <c r="K65" s="8">
        <f t="shared" si="43"/>
        <v>2337712217.0500002</v>
      </c>
      <c r="L65" s="8">
        <f t="shared" si="43"/>
        <v>2337712217.0500002</v>
      </c>
      <c r="M65" s="8">
        <f t="shared" si="43"/>
        <v>2337712217.0500002</v>
      </c>
      <c r="N65" s="9">
        <f t="shared" si="4"/>
        <v>0.72524518936285709</v>
      </c>
      <c r="O65" s="10">
        <f t="shared" si="5"/>
        <v>0.33395888815000002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124026000</v>
      </c>
      <c r="L66" s="18">
        <f t="shared" si="44"/>
        <v>124026000</v>
      </c>
      <c r="M66" s="18">
        <f t="shared" si="44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96055000</v>
      </c>
      <c r="L68" s="18">
        <f t="shared" si="45"/>
        <v>96055000</v>
      </c>
      <c r="M68" s="18">
        <f t="shared" si="45"/>
        <v>96055000</v>
      </c>
      <c r="N68" s="20">
        <f t="shared" si="4"/>
        <v>0.53402490964719385</v>
      </c>
      <c r="O68" s="20">
        <f t="shared" si="5"/>
        <v>9.183956401185582E-2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96055000</v>
      </c>
      <c r="L69" s="13">
        <v>96055000</v>
      </c>
      <c r="M69" s="13">
        <v>96055000</v>
      </c>
      <c r="N69" s="15">
        <f t="shared" si="4"/>
        <v>0.6863994997310382</v>
      </c>
      <c r="O69" s="15">
        <f t="shared" si="5"/>
        <v>0.51670252824098983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0</v>
      </c>
      <c r="L70" s="13">
        <v>0</v>
      </c>
      <c r="M70" s="13">
        <v>0</v>
      </c>
      <c r="N70" s="15">
        <f t="shared" si="4"/>
        <v>0.88953135000000005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324191224</v>
      </c>
      <c r="K71" s="13">
        <v>0</v>
      </c>
      <c r="L71" s="13">
        <v>0</v>
      </c>
      <c r="M71" s="13">
        <v>0</v>
      </c>
      <c r="N71" s="15">
        <f t="shared" si="4"/>
        <v>0.43809624864864866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2474996177.71</v>
      </c>
      <c r="I72" s="18">
        <f t="shared" si="46"/>
        <v>350215007.29000002</v>
      </c>
      <c r="J72" s="18">
        <f t="shared" si="46"/>
        <v>1836713615.71</v>
      </c>
      <c r="K72" s="18">
        <f t="shared" si="46"/>
        <v>913832391.38</v>
      </c>
      <c r="L72" s="18">
        <f t="shared" si="46"/>
        <v>913832391.38</v>
      </c>
      <c r="M72" s="18">
        <f t="shared" si="46"/>
        <v>913832391.38</v>
      </c>
      <c r="N72" s="20">
        <f t="shared" si="4"/>
        <v>0.65011551188163652</v>
      </c>
      <c r="O72" s="20">
        <f t="shared" si="5"/>
        <v>0.32345631230395966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702497514</v>
      </c>
      <c r="I73" s="14">
        <v>222713671</v>
      </c>
      <c r="J73" s="13">
        <v>630918210</v>
      </c>
      <c r="K73" s="13">
        <v>299397363</v>
      </c>
      <c r="L73" s="13">
        <v>299397363</v>
      </c>
      <c r="M73" s="13">
        <v>299397363</v>
      </c>
      <c r="N73" s="15">
        <f t="shared" si="4"/>
        <v>0.68191805311994791</v>
      </c>
      <c r="O73" s="15">
        <f t="shared" si="5"/>
        <v>0.32359894460203698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1772498663.71</v>
      </c>
      <c r="I74" s="14">
        <v>127501336.29000001</v>
      </c>
      <c r="J74" s="13">
        <v>1205795405.71</v>
      </c>
      <c r="K74" s="13">
        <v>614435028.38</v>
      </c>
      <c r="L74" s="13">
        <v>614435028.38</v>
      </c>
      <c r="M74" s="13">
        <v>614435028.38</v>
      </c>
      <c r="N74" s="15">
        <f t="shared" si="4"/>
        <v>0.63462916089999999</v>
      </c>
      <c r="O74" s="15">
        <f t="shared" si="5"/>
        <v>0.32338685704210524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2111145032</v>
      </c>
      <c r="I75" s="18">
        <f t="shared" si="47"/>
        <v>288854968</v>
      </c>
      <c r="J75" s="18">
        <f t="shared" si="47"/>
        <v>2076872210</v>
      </c>
      <c r="K75" s="18">
        <f t="shared" si="47"/>
        <v>1045005532.6700001</v>
      </c>
      <c r="L75" s="18">
        <f t="shared" si="47"/>
        <v>1045005532.6700001</v>
      </c>
      <c r="M75" s="18">
        <f t="shared" si="47"/>
        <v>1045005532.6700001</v>
      </c>
      <c r="N75" s="20">
        <f t="shared" si="4"/>
        <v>0.86536342083333329</v>
      </c>
      <c r="O75" s="20">
        <f t="shared" si="5"/>
        <v>0.43541897194583334</v>
      </c>
    </row>
    <row r="76" spans="1:15" ht="22.5" x14ac:dyDescent="0.25">
      <c r="A76" s="33" t="s">
        <v>150</v>
      </c>
      <c r="B76" s="12" t="s">
        <v>154</v>
      </c>
      <c r="C76" s="13">
        <v>400000000</v>
      </c>
      <c r="D76" s="13">
        <v>0</v>
      </c>
      <c r="E76" s="13">
        <v>0</v>
      </c>
      <c r="F76" s="14">
        <v>400000000</v>
      </c>
      <c r="G76" s="13">
        <v>0</v>
      </c>
      <c r="H76" s="13">
        <v>396556145</v>
      </c>
      <c r="I76" s="14">
        <v>3443855</v>
      </c>
      <c r="J76" s="13">
        <v>396556145</v>
      </c>
      <c r="K76" s="13">
        <v>232479205</v>
      </c>
      <c r="L76" s="13">
        <v>232479205</v>
      </c>
      <c r="M76" s="13">
        <v>232479205</v>
      </c>
      <c r="N76" s="15">
        <f t="shared" si="4"/>
        <v>0.99139036250000001</v>
      </c>
      <c r="O76" s="15">
        <f t="shared" si="5"/>
        <v>0.58119801250000003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152304411</v>
      </c>
      <c r="I77" s="14">
        <v>48915589</v>
      </c>
      <c r="J77" s="13">
        <v>152304411</v>
      </c>
      <c r="K77" s="13">
        <v>45866667</v>
      </c>
      <c r="L77" s="13">
        <v>45866667</v>
      </c>
      <c r="M77" s="13">
        <v>45866667</v>
      </c>
      <c r="N77" s="15">
        <f t="shared" si="4"/>
        <v>0.75690493489712751</v>
      </c>
      <c r="O77" s="15">
        <f t="shared" si="5"/>
        <v>0.22794288341119173</v>
      </c>
    </row>
    <row r="78" spans="1:15" ht="33.75" x14ac:dyDescent="0.25">
      <c r="A78" s="33" t="s">
        <v>152</v>
      </c>
      <c r="B78" s="12" t="s">
        <v>156</v>
      </c>
      <c r="C78" s="13">
        <v>851018000</v>
      </c>
      <c r="D78" s="13">
        <v>0</v>
      </c>
      <c r="E78" s="13">
        <v>0</v>
      </c>
      <c r="F78" s="14">
        <v>851018000</v>
      </c>
      <c r="G78" s="13">
        <v>0</v>
      </c>
      <c r="H78" s="13">
        <v>711752862</v>
      </c>
      <c r="I78" s="14">
        <v>139265138</v>
      </c>
      <c r="J78" s="13">
        <v>711752862</v>
      </c>
      <c r="K78" s="13">
        <v>351540688</v>
      </c>
      <c r="L78" s="13">
        <v>351540688</v>
      </c>
      <c r="M78" s="13">
        <v>351540688</v>
      </c>
      <c r="N78" s="15">
        <f t="shared" si="4"/>
        <v>0.83635465054793201</v>
      </c>
      <c r="O78" s="15">
        <f t="shared" si="5"/>
        <v>0.41308255289547341</v>
      </c>
    </row>
    <row r="79" spans="1:15" ht="22.5" x14ac:dyDescent="0.25">
      <c r="A79" s="33" t="s">
        <v>153</v>
      </c>
      <c r="B79" s="12" t="s">
        <v>157</v>
      </c>
      <c r="C79" s="13">
        <v>947762000</v>
      </c>
      <c r="D79" s="13">
        <v>0</v>
      </c>
      <c r="E79" s="13">
        <v>0</v>
      </c>
      <c r="F79" s="14">
        <v>947762000</v>
      </c>
      <c r="G79" s="13">
        <v>0</v>
      </c>
      <c r="H79" s="13">
        <v>850531614</v>
      </c>
      <c r="I79" s="14">
        <v>97230386</v>
      </c>
      <c r="J79" s="13">
        <v>816258792</v>
      </c>
      <c r="K79" s="13">
        <v>415118972.67000002</v>
      </c>
      <c r="L79" s="13">
        <v>415118972.67000002</v>
      </c>
      <c r="M79" s="13">
        <v>415118972.67000002</v>
      </c>
      <c r="N79" s="15">
        <f t="shared" si="4"/>
        <v>0.86124870167826939</v>
      </c>
      <c r="O79" s="15">
        <f t="shared" si="5"/>
        <v>0.43799917349503359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121800000</v>
      </c>
      <c r="I80" s="18">
        <f t="shared" si="48"/>
        <v>78200000</v>
      </c>
      <c r="J80" s="18">
        <f t="shared" si="48"/>
        <v>121800000</v>
      </c>
      <c r="K80" s="18">
        <f t="shared" si="48"/>
        <v>51388373</v>
      </c>
      <c r="L80" s="18">
        <f t="shared" si="48"/>
        <v>51388373</v>
      </c>
      <c r="M80" s="18">
        <f t="shared" si="48"/>
        <v>51388373</v>
      </c>
      <c r="N80" s="20">
        <f t="shared" si="4"/>
        <v>0.60899999999999999</v>
      </c>
      <c r="O80" s="20">
        <f t="shared" si="5"/>
        <v>0.25694186499999999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8000000</v>
      </c>
      <c r="L82" s="13">
        <v>8000000</v>
      </c>
      <c r="M82" s="13">
        <v>8000000</v>
      </c>
      <c r="N82" s="15">
        <f>+J82/F82</f>
        <v>0.34833333333333333</v>
      </c>
      <c r="O82" s="15">
        <f>+K82/F82</f>
        <v>6.6666666666666666E-2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282793846.83000004</v>
      </c>
      <c r="I83" s="18">
        <f t="shared" si="49"/>
        <v>46094968.170000002</v>
      </c>
      <c r="J83" s="18">
        <f t="shared" si="49"/>
        <v>282793846.83000004</v>
      </c>
      <c r="K83" s="18">
        <f t="shared" si="49"/>
        <v>107404920</v>
      </c>
      <c r="L83" s="18">
        <f t="shared" si="49"/>
        <v>107404920</v>
      </c>
      <c r="M83" s="18">
        <f t="shared" si="49"/>
        <v>107404920</v>
      </c>
      <c r="N83" s="20">
        <f t="shared" si="4"/>
        <v>0.85984634907696711</v>
      </c>
      <c r="O83" s="20">
        <f t="shared" si="5"/>
        <v>0.32656908688123065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257082422.83000001</v>
      </c>
      <c r="I84" s="14">
        <v>37118058.170000002</v>
      </c>
      <c r="J84" s="13">
        <v>257082422.83000001</v>
      </c>
      <c r="K84" s="13">
        <v>107404920</v>
      </c>
      <c r="L84" s="13">
        <v>107404920</v>
      </c>
      <c r="M84" s="13">
        <v>107404920</v>
      </c>
      <c r="N84" s="15">
        <f t="shared" si="4"/>
        <v>0.87383413499585683</v>
      </c>
      <c r="O84" s="15">
        <f t="shared" si="5"/>
        <v>0.36507391026325342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2320857940</v>
      </c>
      <c r="E86" s="8">
        <f t="shared" si="50"/>
        <v>2320857940</v>
      </c>
      <c r="F86" s="8">
        <f t="shared" si="50"/>
        <v>36191962728</v>
      </c>
      <c r="G86" s="8">
        <f t="shared" si="50"/>
        <v>2435000000</v>
      </c>
      <c r="H86" s="8">
        <f t="shared" si="50"/>
        <v>30705762920.07</v>
      </c>
      <c r="I86" s="8">
        <f t="shared" si="50"/>
        <v>3051199807.9299994</v>
      </c>
      <c r="J86" s="8">
        <f t="shared" si="50"/>
        <v>25987611714.889999</v>
      </c>
      <c r="K86" s="8">
        <f t="shared" si="50"/>
        <v>21500627488.25</v>
      </c>
      <c r="L86" s="8">
        <f t="shared" si="50"/>
        <v>21484803235.25</v>
      </c>
      <c r="M86" s="8">
        <f t="shared" si="50"/>
        <v>21484803235.25</v>
      </c>
      <c r="N86" s="9">
        <f t="shared" si="4"/>
        <v>0.7180492506084678</v>
      </c>
      <c r="O86" s="10">
        <f t="shared" si="5"/>
        <v>0.59407188413177681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2610857940</v>
      </c>
      <c r="E5" s="7">
        <f t="shared" si="0"/>
        <v>2610857940</v>
      </c>
      <c r="F5" s="7">
        <f t="shared" si="0"/>
        <v>29191962728</v>
      </c>
      <c r="G5" s="7">
        <f t="shared" si="0"/>
        <v>2861504000</v>
      </c>
      <c r="H5" s="7">
        <f t="shared" si="0"/>
        <v>25039065918.279999</v>
      </c>
      <c r="I5" s="7">
        <f t="shared" si="0"/>
        <v>1291392809.7200015</v>
      </c>
      <c r="J5" s="7">
        <f t="shared" si="0"/>
        <v>21978105485.299999</v>
      </c>
      <c r="K5" s="7">
        <f t="shared" si="0"/>
        <v>20740740461.040001</v>
      </c>
      <c r="L5" s="7">
        <f t="shared" si="0"/>
        <v>20740740461.040001</v>
      </c>
      <c r="M5" s="7">
        <f t="shared" si="0"/>
        <v>20740740461.040001</v>
      </c>
      <c r="N5" s="9">
        <f>+J5/F5</f>
        <v>0.75288207545631392</v>
      </c>
      <c r="O5" s="10">
        <f>+K5/F5</f>
        <v>0.71049489389578258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933504000</v>
      </c>
      <c r="E6" s="7">
        <f>+E7+E36+E37</f>
        <v>933504000</v>
      </c>
      <c r="F6" s="7">
        <f t="shared" ref="F6:L6" si="1">+F7+F36+F37</f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12495789372</v>
      </c>
      <c r="K6" s="7">
        <f t="shared" si="1"/>
        <v>12494912604</v>
      </c>
      <c r="L6" s="7">
        <f t="shared" si="1"/>
        <v>12494912604</v>
      </c>
      <c r="M6" s="7">
        <f>+M7+M36+M37</f>
        <v>12494912604</v>
      </c>
      <c r="N6" s="9">
        <f>+J6/F6</f>
        <v>0.8020821476650678</v>
      </c>
      <c r="O6" s="10">
        <f>+K6/F6</f>
        <v>0.80202586951092258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507000000</v>
      </c>
      <c r="E7" s="18">
        <f>+E8+E20+E30</f>
        <v>507000000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12495789372</v>
      </c>
      <c r="K7" s="18">
        <f>+K8+K20+K30</f>
        <v>12494912604</v>
      </c>
      <c r="L7" s="18">
        <f>+L8+L20+L30</f>
        <v>12494912604</v>
      </c>
      <c r="M7" s="18">
        <f>+M8+M20+M30</f>
        <v>12494912604</v>
      </c>
      <c r="N7" s="20">
        <f>+J7/F7</f>
        <v>0.82465842667487643</v>
      </c>
      <c r="O7" s="20">
        <f>+K7/F7</f>
        <v>0.82460056445441843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8470513479</v>
      </c>
      <c r="K8" s="18">
        <f>+K9</f>
        <v>8469676974</v>
      </c>
      <c r="L8" s="18">
        <f>+L9</f>
        <v>8469676974</v>
      </c>
      <c r="M8" s="18">
        <f>+M9</f>
        <v>8469676974</v>
      </c>
      <c r="N8" s="20">
        <f t="shared" ref="N8:N86" si="4">+J8/F8</f>
        <v>0.81894032056234489</v>
      </c>
      <c r="O8" s="20">
        <f t="shared" ref="O8:O86" si="5">+K8/F8</f>
        <v>0.81885944616499573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8470513479</v>
      </c>
      <c r="K9" s="18">
        <f>SUM(K10:K19)</f>
        <v>8469676974</v>
      </c>
      <c r="L9" s="18">
        <f>SUM(L10:L19)</f>
        <v>8469676974</v>
      </c>
      <c r="M9" s="18">
        <f>SUM(M10:M19)</f>
        <v>8469676974</v>
      </c>
      <c r="N9" s="20">
        <f t="shared" si="4"/>
        <v>0.81894032056234489</v>
      </c>
      <c r="O9" s="20">
        <f t="shared" si="5"/>
        <v>0.81885944616499573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7105037645</v>
      </c>
      <c r="K10" s="13">
        <v>7104289898</v>
      </c>
      <c r="L10" s="13">
        <v>7104289898</v>
      </c>
      <c r="M10" s="13">
        <v>7104289898</v>
      </c>
      <c r="N10" s="15">
        <f t="shared" si="4"/>
        <v>0.92718747814171998</v>
      </c>
      <c r="O10" s="15">
        <f t="shared" si="5"/>
        <v>0.92708989925616603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64849543</v>
      </c>
      <c r="K11" s="13">
        <v>64849543</v>
      </c>
      <c r="L11" s="13">
        <v>64849543</v>
      </c>
      <c r="M11" s="13">
        <v>64849543</v>
      </c>
      <c r="N11" s="15">
        <f t="shared" si="4"/>
        <v>0.88834990410958903</v>
      </c>
      <c r="O11" s="15">
        <f t="shared" si="5"/>
        <v>0.88834990410958903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448389106</v>
      </c>
      <c r="K12" s="13">
        <v>448389106</v>
      </c>
      <c r="L12" s="13">
        <v>448389106</v>
      </c>
      <c r="M12" s="13">
        <v>448389106</v>
      </c>
      <c r="N12" s="15">
        <f t="shared" si="4"/>
        <v>0.86228674230769231</v>
      </c>
      <c r="O12" s="15">
        <f t="shared" si="5"/>
        <v>0.86228674230769231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12099817</v>
      </c>
      <c r="K13" s="13">
        <v>12099817</v>
      </c>
      <c r="L13" s="13">
        <v>12099817</v>
      </c>
      <c r="M13" s="13">
        <v>12099817</v>
      </c>
      <c r="N13" s="15">
        <f t="shared" si="4"/>
        <v>0.86427264285714289</v>
      </c>
      <c r="O13" s="15">
        <f t="shared" si="5"/>
        <v>0.86427264285714289</v>
      </c>
      <c r="P13" s="39"/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347745728</v>
      </c>
      <c r="K15" s="13">
        <v>347685728</v>
      </c>
      <c r="L15" s="13">
        <v>347685728</v>
      </c>
      <c r="M15" s="13">
        <v>347685728</v>
      </c>
      <c r="N15" s="15">
        <f t="shared" si="4"/>
        <v>0.86075675247524752</v>
      </c>
      <c r="O15" s="15">
        <f t="shared" si="5"/>
        <v>0.86060823762376237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214493516</v>
      </c>
      <c r="K16" s="13">
        <v>214493516</v>
      </c>
      <c r="L16" s="13">
        <v>214493516</v>
      </c>
      <c r="M16" s="13">
        <v>214493516</v>
      </c>
      <c r="N16" s="15">
        <f t="shared" si="4"/>
        <v>0.74736416724738675</v>
      </c>
      <c r="O16" s="15">
        <f t="shared" si="5"/>
        <v>0.74736416724738675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40326486</v>
      </c>
      <c r="K17" s="13">
        <v>40326486</v>
      </c>
      <c r="L17" s="13">
        <v>40326486</v>
      </c>
      <c r="M17" s="13">
        <v>40326486</v>
      </c>
      <c r="N17" s="15">
        <f t="shared" si="4"/>
        <v>0.67210809999999999</v>
      </c>
      <c r="O17" s="15">
        <f t="shared" si="5"/>
        <v>0.67210809999999999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6551100</v>
      </c>
      <c r="K18" s="13">
        <v>6551100</v>
      </c>
      <c r="L18" s="13">
        <v>6551100</v>
      </c>
      <c r="M18" s="13">
        <v>6551100</v>
      </c>
      <c r="N18" s="15">
        <f t="shared" si="4"/>
        <v>7.89289156626506E-3</v>
      </c>
      <c r="O18" s="15">
        <f t="shared" si="5"/>
        <v>7.89289156626506E-3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231020538</v>
      </c>
      <c r="K19" s="13">
        <v>230991780</v>
      </c>
      <c r="L19" s="13">
        <v>230991780</v>
      </c>
      <c r="M19" s="13">
        <v>230991780</v>
      </c>
      <c r="N19" s="15">
        <f t="shared" si="4"/>
        <v>0.47412072380100195</v>
      </c>
      <c r="O19" s="15">
        <f t="shared" si="5"/>
        <v>0.47406170409698295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3264032672</v>
      </c>
      <c r="K20" s="18">
        <f t="shared" ref="K20:M20" si="9">SUM(K21:K29)</f>
        <v>3264032672</v>
      </c>
      <c r="L20" s="18">
        <f t="shared" si="9"/>
        <v>3264032672</v>
      </c>
      <c r="M20" s="18">
        <f t="shared" si="9"/>
        <v>3264032672</v>
      </c>
      <c r="N20" s="20">
        <f t="shared" si="4"/>
        <v>0.86563823791340844</v>
      </c>
      <c r="O20" s="20">
        <f t="shared" si="5"/>
        <v>0.86563823791340844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1002292838</v>
      </c>
      <c r="K21" s="13">
        <v>1002292838</v>
      </c>
      <c r="L21" s="13">
        <v>1002292838</v>
      </c>
      <c r="M21" s="13">
        <v>1002292838</v>
      </c>
      <c r="N21" s="15">
        <f t="shared" si="4"/>
        <v>0.91897321269756282</v>
      </c>
      <c r="O21" s="15">
        <f t="shared" si="5"/>
        <v>0.91897321269756282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709993652</v>
      </c>
      <c r="K22" s="13">
        <v>709993652</v>
      </c>
      <c r="L22" s="13">
        <v>709993652</v>
      </c>
      <c r="M22" s="13">
        <v>709993652</v>
      </c>
      <c r="N22" s="15">
        <f t="shared" si="4"/>
        <v>0.91024827179487178</v>
      </c>
      <c r="O22" s="15">
        <f t="shared" si="5"/>
        <v>0.91024827179487178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726869482</v>
      </c>
      <c r="K23" s="13">
        <v>726869482</v>
      </c>
      <c r="L23" s="13">
        <v>726869482</v>
      </c>
      <c r="M23" s="13">
        <v>726869482</v>
      </c>
      <c r="N23" s="15">
        <f t="shared" si="4"/>
        <v>0.83548216321839075</v>
      </c>
      <c r="O23" s="15">
        <f t="shared" si="5"/>
        <v>0.83548216321839075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345889700</v>
      </c>
      <c r="K24" s="13">
        <v>345889700</v>
      </c>
      <c r="L24" s="13">
        <v>345889700</v>
      </c>
      <c r="M24" s="13">
        <v>345889700</v>
      </c>
      <c r="N24" s="15">
        <f t="shared" si="4"/>
        <v>0.86472424999999997</v>
      </c>
      <c r="O24" s="15">
        <f t="shared" si="5"/>
        <v>0.86472424999999997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46368500</v>
      </c>
      <c r="K25" s="13">
        <v>46368500</v>
      </c>
      <c r="L25" s="13">
        <v>46368500</v>
      </c>
      <c r="M25" s="13">
        <v>46368500</v>
      </c>
      <c r="N25" s="15">
        <f t="shared" si="4"/>
        <v>0.66240714285714286</v>
      </c>
      <c r="O25" s="15">
        <f t="shared" si="5"/>
        <v>0.66240714285714286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259418800</v>
      </c>
      <c r="K26" s="13">
        <v>259418800</v>
      </c>
      <c r="L26" s="13">
        <v>259418800</v>
      </c>
      <c r="M26" s="13">
        <v>259418800</v>
      </c>
      <c r="N26" s="15">
        <f t="shared" si="4"/>
        <v>0.86472933333333335</v>
      </c>
      <c r="O26" s="15">
        <f t="shared" si="5"/>
        <v>0.86472933333333335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43323900</v>
      </c>
      <c r="K27" s="13">
        <v>43323900</v>
      </c>
      <c r="L27" s="13">
        <v>43323900</v>
      </c>
      <c r="M27" s="13">
        <v>43323900</v>
      </c>
      <c r="N27" s="15">
        <f t="shared" si="4"/>
        <v>0.61891285714285715</v>
      </c>
      <c r="O27" s="15">
        <f t="shared" si="5"/>
        <v>0.61891285714285715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43323900</v>
      </c>
      <c r="K28" s="13">
        <v>43323900</v>
      </c>
      <c r="L28" s="13">
        <v>43323900</v>
      </c>
      <c r="M28" s="13">
        <v>43323900</v>
      </c>
      <c r="N28" s="15">
        <f t="shared" si="4"/>
        <v>0.61891285714285715</v>
      </c>
      <c r="O28" s="15">
        <f t="shared" si="5"/>
        <v>0.61891285714285715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86551900</v>
      </c>
      <c r="K29" s="13">
        <v>86551900</v>
      </c>
      <c r="L29" s="13">
        <v>86551900</v>
      </c>
      <c r="M29" s="13">
        <v>86551900</v>
      </c>
      <c r="N29" s="15">
        <f t="shared" si="4"/>
        <v>0.72126583333333338</v>
      </c>
      <c r="O29" s="15">
        <f t="shared" si="5"/>
        <v>0.72126583333333338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507000000</v>
      </c>
      <c r="E30" s="18">
        <f t="shared" si="10"/>
        <v>167000000</v>
      </c>
      <c r="F30" s="19">
        <f t="shared" si="2"/>
        <v>1038758000</v>
      </c>
      <c r="G30" s="18">
        <f t="shared" ref="G30:H30" si="11">SUM(G31:G35)</f>
        <v>0</v>
      </c>
      <c r="H30" s="18">
        <f t="shared" si="11"/>
        <v>1038758000</v>
      </c>
      <c r="I30" s="19">
        <f>+F30-G30-H30</f>
        <v>0</v>
      </c>
      <c r="J30" s="18">
        <f t="shared" ref="J30" si="12">SUM(J31:J35)</f>
        <v>761243221</v>
      </c>
      <c r="K30" s="18">
        <f t="shared" ref="K30:M30" si="13">SUM(K31:K35)</f>
        <v>761202958</v>
      </c>
      <c r="L30" s="18">
        <f t="shared" si="13"/>
        <v>761202958</v>
      </c>
      <c r="M30" s="18">
        <f t="shared" si="13"/>
        <v>761202958</v>
      </c>
      <c r="N30" s="20">
        <f t="shared" si="4"/>
        <v>0.73283981543343113</v>
      </c>
      <c r="O30" s="20">
        <f t="shared" si="5"/>
        <v>0.73280105472111889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236000000</v>
      </c>
      <c r="E31" s="13">
        <v>44000000</v>
      </c>
      <c r="F31" s="14">
        <v>486262800</v>
      </c>
      <c r="G31" s="13">
        <v>0</v>
      </c>
      <c r="H31" s="13">
        <v>486262800</v>
      </c>
      <c r="I31" s="14">
        <v>0</v>
      </c>
      <c r="J31" s="13">
        <v>298106766</v>
      </c>
      <c r="K31" s="13">
        <v>298066503</v>
      </c>
      <c r="L31" s="13">
        <v>298066503</v>
      </c>
      <c r="M31" s="13">
        <v>298066503</v>
      </c>
      <c r="N31" s="15">
        <f t="shared" si="4"/>
        <v>0.61305690256379886</v>
      </c>
      <c r="O31" s="15">
        <f t="shared" si="5"/>
        <v>0.61297410165860933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61000000</v>
      </c>
      <c r="E32" s="13">
        <v>8000000</v>
      </c>
      <c r="F32" s="14">
        <v>113000000</v>
      </c>
      <c r="G32" s="13">
        <v>0</v>
      </c>
      <c r="H32" s="13">
        <v>113000000</v>
      </c>
      <c r="I32" s="14">
        <v>0</v>
      </c>
      <c r="J32" s="13">
        <v>85421515</v>
      </c>
      <c r="K32" s="13">
        <v>85421515</v>
      </c>
      <c r="L32" s="13">
        <v>85421515</v>
      </c>
      <c r="M32" s="13">
        <v>85421515</v>
      </c>
      <c r="N32" s="15">
        <f t="shared" si="4"/>
        <v>0.75594261061946899</v>
      </c>
      <c r="O32" s="15">
        <f t="shared" si="5"/>
        <v>0.75594261061946899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20000000</v>
      </c>
      <c r="E33" s="13">
        <v>20000000</v>
      </c>
      <c r="F33" s="14">
        <v>47548800</v>
      </c>
      <c r="G33" s="13">
        <v>0</v>
      </c>
      <c r="H33" s="13">
        <v>47548800</v>
      </c>
      <c r="I33" s="14">
        <v>0</v>
      </c>
      <c r="J33" s="13">
        <v>27465695</v>
      </c>
      <c r="K33" s="13">
        <v>27465695</v>
      </c>
      <c r="L33" s="13">
        <v>27465695</v>
      </c>
      <c r="M33" s="13">
        <v>27465695</v>
      </c>
      <c r="N33" s="15">
        <f t="shared" si="4"/>
        <v>0.57763171730937479</v>
      </c>
      <c r="O33" s="15">
        <f t="shared" si="5"/>
        <v>0.57763171730937479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180000000</v>
      </c>
      <c r="E34" s="13">
        <v>15000000</v>
      </c>
      <c r="F34" s="14">
        <v>318946400</v>
      </c>
      <c r="G34" s="13">
        <v>0</v>
      </c>
      <c r="H34" s="13">
        <v>318946400</v>
      </c>
      <c r="I34" s="14">
        <v>0</v>
      </c>
      <c r="J34" s="13">
        <v>285855201</v>
      </c>
      <c r="K34" s="13">
        <v>285855201</v>
      </c>
      <c r="L34" s="13">
        <v>285855201</v>
      </c>
      <c r="M34" s="13">
        <v>285855201</v>
      </c>
      <c r="N34" s="15">
        <f t="shared" si="4"/>
        <v>0.89624840098524394</v>
      </c>
      <c r="O34" s="15">
        <f t="shared" si="5"/>
        <v>0.89624840098524394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10000000</v>
      </c>
      <c r="E35" s="13">
        <v>80000000</v>
      </c>
      <c r="F35" s="14">
        <v>73000000</v>
      </c>
      <c r="G35" s="13">
        <v>0</v>
      </c>
      <c r="H35" s="13">
        <v>73000000</v>
      </c>
      <c r="I35" s="14">
        <v>0</v>
      </c>
      <c r="J35" s="13">
        <v>64394044</v>
      </c>
      <c r="K35" s="13">
        <v>64394044</v>
      </c>
      <c r="L35" s="13">
        <v>64394044</v>
      </c>
      <c r="M35" s="13">
        <v>64394044</v>
      </c>
      <c r="N35" s="15">
        <f t="shared" si="4"/>
        <v>0.88211019178082195</v>
      </c>
      <c r="O35" s="15">
        <f t="shared" si="5"/>
        <v>0.88211019178082195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426504000</v>
      </c>
      <c r="H36" s="13">
        <v>0</v>
      </c>
      <c r="I36" s="14"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1559856600</v>
      </c>
      <c r="E38" s="8">
        <f t="shared" si="14"/>
        <v>1561914600</v>
      </c>
      <c r="F38" s="8">
        <f t="shared" si="14"/>
        <v>9895695728</v>
      </c>
      <c r="G38" s="8">
        <f t="shared" si="14"/>
        <v>0</v>
      </c>
      <c r="H38" s="8">
        <f t="shared" si="14"/>
        <v>9773762918.2799988</v>
      </c>
      <c r="I38" s="8">
        <f t="shared" si="14"/>
        <v>121932809.72000152</v>
      </c>
      <c r="J38" s="8">
        <f t="shared" si="14"/>
        <v>9386804370.2999992</v>
      </c>
      <c r="K38" s="8">
        <f t="shared" si="14"/>
        <v>8152850548.04</v>
      </c>
      <c r="L38" s="8">
        <f t="shared" si="14"/>
        <v>8152850548.04</v>
      </c>
      <c r="M38" s="8">
        <f t="shared" si="14"/>
        <v>8152850548.04</v>
      </c>
      <c r="N38" s="9">
        <f t="shared" si="4"/>
        <v>0.94857447402509698</v>
      </c>
      <c r="O38" s="10">
        <f t="shared" si="5"/>
        <v>0.82387845909321999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12856600</v>
      </c>
      <c r="E39" s="18">
        <f t="shared" si="15"/>
        <v>14914600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131991875.18000001</v>
      </c>
      <c r="I39" s="19">
        <f t="shared" ref="I39:I48" si="18">+F39-G39-H39</f>
        <v>950124.81999999285</v>
      </c>
      <c r="J39" s="18">
        <f t="shared" ref="J39:M39" si="19">+J40</f>
        <v>127866875.18000001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0.96182451881271536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12856600</v>
      </c>
      <c r="E40" s="18">
        <f t="shared" si="20"/>
        <v>14914600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131991875.18000001</v>
      </c>
      <c r="I40" s="19">
        <f t="shared" si="18"/>
        <v>950124.81999999285</v>
      </c>
      <c r="J40" s="18">
        <f t="shared" ref="J40:M40" si="22">SUM(J41:J42)</f>
        <v>127866875.18000001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0.96182451881271536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12856600</v>
      </c>
      <c r="E41" s="13">
        <v>0</v>
      </c>
      <c r="F41" s="14">
        <v>52856600</v>
      </c>
      <c r="G41" s="13">
        <v>0</v>
      </c>
      <c r="H41" s="13">
        <v>51906566.68</v>
      </c>
      <c r="I41" s="14">
        <v>950033.32</v>
      </c>
      <c r="J41" s="13">
        <v>51906566.68</v>
      </c>
      <c r="K41" s="13">
        <v>3935000</v>
      </c>
      <c r="L41" s="13">
        <v>3935000</v>
      </c>
      <c r="M41" s="13">
        <v>3935000</v>
      </c>
      <c r="N41" s="15">
        <f t="shared" si="4"/>
        <v>0.98202621205298868</v>
      </c>
      <c r="O41" s="15">
        <f t="shared" si="5"/>
        <v>7.4446710533783864E-2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14914600</v>
      </c>
      <c r="F42" s="14">
        <v>80085400</v>
      </c>
      <c r="G42" s="13">
        <v>0</v>
      </c>
      <c r="H42" s="13">
        <v>80085308.5</v>
      </c>
      <c r="I42" s="14">
        <v>91.5</v>
      </c>
      <c r="J42" s="13">
        <v>75960308.5</v>
      </c>
      <c r="K42" s="13">
        <v>75960308.5</v>
      </c>
      <c r="L42" s="13">
        <v>75960308.5</v>
      </c>
      <c r="M42" s="13">
        <v>75960308.5</v>
      </c>
      <c r="N42" s="15">
        <f t="shared" si="4"/>
        <v>0.94849134174268968</v>
      </c>
      <c r="O42" s="15">
        <f t="shared" si="5"/>
        <v>0.94849134174268968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1547000000</v>
      </c>
      <c r="E43" s="18">
        <f t="shared" si="23"/>
        <v>1547000000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9641771043.0999985</v>
      </c>
      <c r="I43" s="19">
        <f t="shared" si="18"/>
        <v>120982684.90000153</v>
      </c>
      <c r="J43" s="18">
        <f t="shared" ref="J43:M43" si="25">+J44+J48</f>
        <v>9258937495.1199989</v>
      </c>
      <c r="K43" s="18">
        <f t="shared" si="25"/>
        <v>8072955239.54</v>
      </c>
      <c r="L43" s="18">
        <f t="shared" si="25"/>
        <v>8072955239.54</v>
      </c>
      <c r="M43" s="18">
        <f t="shared" si="25"/>
        <v>8072955239.54</v>
      </c>
      <c r="N43" s="20">
        <f t="shared" si="4"/>
        <v>0.94839404466026478</v>
      </c>
      <c r="O43" s="20">
        <f t="shared" si="5"/>
        <v>0.82691374426320052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92000000</v>
      </c>
      <c r="E44" s="18">
        <f t="shared" si="26"/>
        <v>0</v>
      </c>
      <c r="F44" s="19">
        <f>+C44+D44-E44</f>
        <v>184000000</v>
      </c>
      <c r="G44" s="18">
        <f t="shared" si="26"/>
        <v>0</v>
      </c>
      <c r="H44" s="18">
        <f t="shared" si="26"/>
        <v>141662539.98000002</v>
      </c>
      <c r="I44" s="19">
        <f t="shared" si="18"/>
        <v>42337460.019999981</v>
      </c>
      <c r="J44" s="18">
        <f t="shared" ref="J44" si="27">SUM(J45:J47)</f>
        <v>141662539.98000002</v>
      </c>
      <c r="K44" s="18">
        <f t="shared" ref="K44:M44" si="28">SUM(K45:K47)</f>
        <v>108684183.21000001</v>
      </c>
      <c r="L44" s="18">
        <f t="shared" si="28"/>
        <v>108684183.21000001</v>
      </c>
      <c r="M44" s="18">
        <f t="shared" si="28"/>
        <v>108684183.21000001</v>
      </c>
      <c r="N44" s="20">
        <f t="shared" si="4"/>
        <v>0.7699051085869566</v>
      </c>
      <c r="O44" s="20">
        <f t="shared" si="5"/>
        <v>0.59067490875000006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11948940</v>
      </c>
      <c r="I45" s="14">
        <v>16051060</v>
      </c>
      <c r="J45" s="13">
        <v>11948940</v>
      </c>
      <c r="K45" s="13">
        <v>8132940</v>
      </c>
      <c r="L45" s="13">
        <v>8132940</v>
      </c>
      <c r="M45" s="13">
        <v>8132940</v>
      </c>
      <c r="N45" s="15">
        <f t="shared" si="4"/>
        <v>0.42674785714285712</v>
      </c>
      <c r="O45" s="15">
        <f t="shared" si="5"/>
        <v>0.29046214285714284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59213699</v>
      </c>
      <c r="I46" s="14">
        <v>7786301</v>
      </c>
      <c r="J46" s="13">
        <v>59213699</v>
      </c>
      <c r="K46" s="13">
        <v>51983102</v>
      </c>
      <c r="L46" s="13">
        <v>51983102</v>
      </c>
      <c r="M46" s="13">
        <v>51983102</v>
      </c>
      <c r="N46" s="15">
        <f t="shared" si="4"/>
        <v>0.88378655223880598</v>
      </c>
      <c r="O46" s="15">
        <f t="shared" si="5"/>
        <v>0.77586719402985072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57000000</v>
      </c>
      <c r="E47" s="13">
        <v>0</v>
      </c>
      <c r="F47" s="14">
        <v>89000000</v>
      </c>
      <c r="G47" s="13">
        <v>0</v>
      </c>
      <c r="H47" s="13">
        <v>70499900.980000004</v>
      </c>
      <c r="I47" s="14">
        <v>18500099.02</v>
      </c>
      <c r="J47" s="13">
        <v>70499900.980000004</v>
      </c>
      <c r="K47" s="13">
        <v>48568141.210000001</v>
      </c>
      <c r="L47" s="13">
        <v>48568141.210000001</v>
      </c>
      <c r="M47" s="13">
        <v>48568141.210000001</v>
      </c>
      <c r="N47" s="15">
        <f t="shared" si="4"/>
        <v>0.79213371887640449</v>
      </c>
      <c r="O47" s="15">
        <f t="shared" si="5"/>
        <v>0.54570945179775276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1455000000</v>
      </c>
      <c r="E48" s="18">
        <f t="shared" si="29"/>
        <v>1547000000</v>
      </c>
      <c r="F48" s="19">
        <f t="shared" si="16"/>
        <v>9578753728</v>
      </c>
      <c r="G48" s="18">
        <f t="shared" ref="G48:H48" si="30">SUM(G49:G53)</f>
        <v>0</v>
      </c>
      <c r="H48" s="18">
        <f t="shared" si="30"/>
        <v>9500108503.1199989</v>
      </c>
      <c r="I48" s="19">
        <f t="shared" si="18"/>
        <v>78645224.880001068</v>
      </c>
      <c r="J48" s="18">
        <f t="shared" ref="J48:M48" si="31">SUM(J49:J53)</f>
        <v>9117274955.1399994</v>
      </c>
      <c r="K48" s="18">
        <f t="shared" si="31"/>
        <v>7964271056.3299999</v>
      </c>
      <c r="L48" s="18">
        <f t="shared" si="31"/>
        <v>7964271056.3299999</v>
      </c>
      <c r="M48" s="18">
        <f t="shared" si="31"/>
        <v>7964271056.3299999</v>
      </c>
      <c r="N48" s="20">
        <f t="shared" si="4"/>
        <v>0.95182267067676718</v>
      </c>
      <c r="O48" s="20">
        <f t="shared" si="5"/>
        <v>0.83145169846567324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15000000</v>
      </c>
      <c r="E49" s="13">
        <v>210000000</v>
      </c>
      <c r="F49" s="14">
        <v>993000000</v>
      </c>
      <c r="G49" s="13">
        <v>0</v>
      </c>
      <c r="H49" s="13">
        <v>984384651</v>
      </c>
      <c r="I49" s="14">
        <v>8615349</v>
      </c>
      <c r="J49" s="27">
        <v>966184126</v>
      </c>
      <c r="K49" s="27">
        <v>780336335</v>
      </c>
      <c r="L49" s="27">
        <v>780336335</v>
      </c>
      <c r="M49" s="27">
        <v>780336335</v>
      </c>
      <c r="N49" s="15">
        <f t="shared" si="4"/>
        <v>0.97299509164149045</v>
      </c>
      <c r="O49" s="15">
        <f t="shared" si="5"/>
        <v>0.78583719536757302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1070000000</v>
      </c>
      <c r="F50" s="14">
        <v>4955950512</v>
      </c>
      <c r="G50" s="13">
        <v>0</v>
      </c>
      <c r="H50" s="13">
        <v>4941669486</v>
      </c>
      <c r="I50" s="14">
        <v>14281026</v>
      </c>
      <c r="J50" s="27">
        <v>4930188754</v>
      </c>
      <c r="K50" s="27">
        <v>4905405172</v>
      </c>
      <c r="L50" s="27">
        <v>4905405172</v>
      </c>
      <c r="M50" s="27">
        <v>4905405172</v>
      </c>
      <c r="N50" s="15">
        <f t="shared" si="4"/>
        <v>0.99480185325950643</v>
      </c>
      <c r="O50" s="15">
        <f t="shared" si="5"/>
        <v>0.9898010805641394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267000000</v>
      </c>
      <c r="F51" s="14">
        <v>2020556980</v>
      </c>
      <c r="G51" s="13">
        <v>0</v>
      </c>
      <c r="H51" s="13">
        <v>1979735996.1199999</v>
      </c>
      <c r="I51" s="14">
        <v>40820983.880000003</v>
      </c>
      <c r="J51" s="27">
        <v>1969095468.1400001</v>
      </c>
      <c r="K51" s="27">
        <v>1587791551.3299999</v>
      </c>
      <c r="L51" s="27">
        <v>1587791551.3299999</v>
      </c>
      <c r="M51" s="27">
        <v>1587791551.3299999</v>
      </c>
      <c r="N51" s="15">
        <f t="shared" si="4"/>
        <v>0.974531026657808</v>
      </c>
      <c r="O51" s="15">
        <f t="shared" si="5"/>
        <v>0.78581874554708175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547000000</v>
      </c>
      <c r="E52" s="13">
        <v>0</v>
      </c>
      <c r="F52" s="14">
        <v>1279246236</v>
      </c>
      <c r="G52" s="13">
        <v>0</v>
      </c>
      <c r="H52" s="13">
        <v>1268660736</v>
      </c>
      <c r="I52" s="14">
        <v>10585500</v>
      </c>
      <c r="J52" s="27">
        <v>949176442</v>
      </c>
      <c r="K52" s="27">
        <v>388107833</v>
      </c>
      <c r="L52" s="27">
        <v>388107833</v>
      </c>
      <c r="M52" s="27">
        <v>388107833</v>
      </c>
      <c r="N52" s="15">
        <f t="shared" si="4"/>
        <v>0.74198103171123964</v>
      </c>
      <c r="O52" s="15">
        <f t="shared" si="5"/>
        <v>0.30338790303073443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325657634</v>
      </c>
      <c r="I53" s="14">
        <v>4342366</v>
      </c>
      <c r="J53" s="27">
        <v>302630165</v>
      </c>
      <c r="K53" s="27">
        <v>302630165</v>
      </c>
      <c r="L53" s="27">
        <v>302630165</v>
      </c>
      <c r="M53" s="27">
        <v>302630165</v>
      </c>
      <c r="N53" s="15">
        <f t="shared" si="4"/>
        <v>0.91706110606060609</v>
      </c>
      <c r="O53" s="15">
        <f t="shared" si="5"/>
        <v>0.91706110606060609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82753743</v>
      </c>
      <c r="K54" s="8">
        <f t="shared" si="33"/>
        <v>80219309</v>
      </c>
      <c r="L54" s="8">
        <f t="shared" si="33"/>
        <v>80219309</v>
      </c>
      <c r="M54" s="8">
        <f t="shared" si="33"/>
        <v>80219309</v>
      </c>
      <c r="N54" s="9">
        <f t="shared" si="4"/>
        <v>2.2676483016013941E-2</v>
      </c>
      <c r="O54" s="10">
        <f t="shared" si="5"/>
        <v>2.1981988151217213E-2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70793679</v>
      </c>
      <c r="K56" s="13">
        <v>68259245</v>
      </c>
      <c r="L56" s="13">
        <v>68259245</v>
      </c>
      <c r="M56" s="13">
        <v>68259245</v>
      </c>
      <c r="N56" s="15">
        <f t="shared" si="4"/>
        <v>0.88647231404958682</v>
      </c>
      <c r="O56" s="15">
        <f t="shared" si="5"/>
        <v>0.85473635111445034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11960064</v>
      </c>
      <c r="K57" s="13">
        <v>11960064</v>
      </c>
      <c r="L57" s="13">
        <v>11960064</v>
      </c>
      <c r="M57" s="13">
        <v>11960064</v>
      </c>
      <c r="N57" s="15">
        <f t="shared" si="4"/>
        <v>0.59800319999999996</v>
      </c>
      <c r="O57" s="15">
        <f t="shared" si="5"/>
        <v>0.59800319999999996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6125394249.9399996</v>
      </c>
      <c r="I65" s="8">
        <f t="shared" si="45"/>
        <v>874605750.05999994</v>
      </c>
      <c r="J65" s="8">
        <f t="shared" si="45"/>
        <v>5500210991.9399996</v>
      </c>
      <c r="K65" s="8">
        <f t="shared" si="45"/>
        <v>3104009989.98</v>
      </c>
      <c r="L65" s="8">
        <f t="shared" si="45"/>
        <v>3104009989.98</v>
      </c>
      <c r="M65" s="8">
        <f t="shared" si="45"/>
        <v>3104009989.98</v>
      </c>
      <c r="N65" s="9">
        <f t="shared" si="4"/>
        <v>0.78574442741999995</v>
      </c>
      <c r="O65" s="10">
        <f t="shared" si="5"/>
        <v>0.4434299985685714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200000000</v>
      </c>
      <c r="I66" s="18">
        <f t="shared" si="46"/>
        <v>0</v>
      </c>
      <c r="J66" s="18">
        <f t="shared" si="46"/>
        <v>200000000</v>
      </c>
      <c r="K66" s="18">
        <f t="shared" si="46"/>
        <v>124026000</v>
      </c>
      <c r="L66" s="18">
        <f t="shared" si="46"/>
        <v>124026000</v>
      </c>
      <c r="M66" s="18">
        <f t="shared" si="46"/>
        <v>124026000</v>
      </c>
      <c r="N66" s="20">
        <f t="shared" si="4"/>
        <v>1</v>
      </c>
      <c r="O66" s="20">
        <f t="shared" si="5"/>
        <v>0.62012999999999996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124026000</v>
      </c>
      <c r="L67" s="13">
        <v>124026000</v>
      </c>
      <c r="M67" s="13">
        <v>124026000</v>
      </c>
      <c r="N67" s="15">
        <f t="shared" si="4"/>
        <v>1</v>
      </c>
      <c r="O67" s="15">
        <f t="shared" si="5"/>
        <v>0.62012999999999996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857016653</v>
      </c>
      <c r="I68" s="18">
        <f t="shared" si="47"/>
        <v>188883347</v>
      </c>
      <c r="J68" s="18">
        <f t="shared" si="47"/>
        <v>558536653</v>
      </c>
      <c r="K68" s="18">
        <f t="shared" si="47"/>
        <v>181838875.59999999</v>
      </c>
      <c r="L68" s="18">
        <f t="shared" si="47"/>
        <v>181838875.59999999</v>
      </c>
      <c r="M68" s="18">
        <f t="shared" si="47"/>
        <v>181838875.59999999</v>
      </c>
      <c r="N68" s="20">
        <f t="shared" si="4"/>
        <v>0.53402490964719385</v>
      </c>
      <c r="O68" s="20">
        <f t="shared" si="5"/>
        <v>0.17385875858112629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107555000</v>
      </c>
      <c r="L69" s="13">
        <v>107555000</v>
      </c>
      <c r="M69" s="13">
        <v>107555000</v>
      </c>
      <c r="N69" s="15">
        <f t="shared" si="4"/>
        <v>0.6863994997310382</v>
      </c>
      <c r="O69" s="15">
        <f t="shared" si="5"/>
        <v>0.5785637439483593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106743762</v>
      </c>
      <c r="I70" s="14">
        <v>13256238</v>
      </c>
      <c r="J70" s="13">
        <v>106743762</v>
      </c>
      <c r="K70" s="13">
        <v>64046258</v>
      </c>
      <c r="L70" s="13">
        <v>64046258</v>
      </c>
      <c r="M70" s="13">
        <v>64046258</v>
      </c>
      <c r="N70" s="15">
        <f t="shared" si="4"/>
        <v>0.88953135000000005</v>
      </c>
      <c r="O70" s="15">
        <f t="shared" si="5"/>
        <v>0.53371881666666665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622671224</v>
      </c>
      <c r="I71" s="14">
        <v>117328776</v>
      </c>
      <c r="J71" s="13">
        <v>324191224</v>
      </c>
      <c r="K71" s="13">
        <v>10237617.6</v>
      </c>
      <c r="L71" s="13">
        <v>10237617.6</v>
      </c>
      <c r="M71" s="13">
        <v>10237617.6</v>
      </c>
      <c r="N71" s="15">
        <f t="shared" si="4"/>
        <v>0.43809624864864866</v>
      </c>
      <c r="O71" s="15">
        <f t="shared" si="5"/>
        <v>1.3834618378378377E-2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2430338134.1099997</v>
      </c>
      <c r="I72" s="18">
        <f t="shared" si="48"/>
        <v>394873050.88999999</v>
      </c>
      <c r="J72" s="18">
        <f t="shared" si="48"/>
        <v>2103634876.1099999</v>
      </c>
      <c r="K72" s="18">
        <f t="shared" si="48"/>
        <v>1363003562.71</v>
      </c>
      <c r="L72" s="18">
        <f t="shared" si="48"/>
        <v>1363003562.71</v>
      </c>
      <c r="M72" s="18">
        <f t="shared" si="48"/>
        <v>1363003562.71</v>
      </c>
      <c r="N72" s="20">
        <f t="shared" si="4"/>
        <v>0.7445938509938328</v>
      </c>
      <c r="O72" s="20">
        <f t="shared" si="5"/>
        <v>0.48244307184774227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1727840924.1099999</v>
      </c>
      <c r="I73" s="14">
        <v>172159075.88999999</v>
      </c>
      <c r="J73" s="13">
        <v>1401137666.1099999</v>
      </c>
      <c r="K73" s="13">
        <v>925482715.71000004</v>
      </c>
      <c r="L73" s="13">
        <v>925482715.71000004</v>
      </c>
      <c r="M73" s="13">
        <v>925482715.71000004</v>
      </c>
      <c r="N73" s="15">
        <f t="shared" si="4"/>
        <v>0.73744087689999993</v>
      </c>
      <c r="O73" s="15">
        <f t="shared" si="5"/>
        <v>0.48709616616315793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702497210</v>
      </c>
      <c r="I74" s="14">
        <v>222713975</v>
      </c>
      <c r="J74" s="13">
        <v>702497210</v>
      </c>
      <c r="K74" s="13">
        <v>437520847</v>
      </c>
      <c r="L74" s="13">
        <v>437520847</v>
      </c>
      <c r="M74" s="13">
        <v>437520847</v>
      </c>
      <c r="N74" s="15">
        <f t="shared" si="4"/>
        <v>0.75928309275681749</v>
      </c>
      <c r="O74" s="15">
        <f t="shared" si="5"/>
        <v>0.47288754620924733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2214798554</v>
      </c>
      <c r="I75" s="18">
        <f t="shared" si="49"/>
        <v>185201446</v>
      </c>
      <c r="J75" s="18">
        <f t="shared" si="49"/>
        <v>2214798554</v>
      </c>
      <c r="K75" s="18">
        <f t="shared" si="49"/>
        <v>1255317673.6700001</v>
      </c>
      <c r="L75" s="18">
        <f t="shared" si="49"/>
        <v>1255317673.6700001</v>
      </c>
      <c r="M75" s="18">
        <f t="shared" si="49"/>
        <v>1255317673.6700001</v>
      </c>
      <c r="N75" s="20">
        <f t="shared" si="4"/>
        <v>0.92283273083333328</v>
      </c>
      <c r="O75" s="20">
        <f t="shared" si="5"/>
        <v>0.52304903069583342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872348280</v>
      </c>
      <c r="I76" s="14">
        <v>75413720</v>
      </c>
      <c r="J76" s="13">
        <v>872348280</v>
      </c>
      <c r="K76" s="13">
        <v>519997260.67000002</v>
      </c>
      <c r="L76" s="13">
        <v>519997260.67000002</v>
      </c>
      <c r="M76" s="13">
        <v>519997260.67000002</v>
      </c>
      <c r="N76" s="15">
        <f t="shared" si="4"/>
        <v>0.92042968593381036</v>
      </c>
      <c r="O76" s="15">
        <f t="shared" si="5"/>
        <v>0.54865806043078325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286008058</v>
      </c>
      <c r="L77" s="13">
        <v>286008058</v>
      </c>
      <c r="M77" s="13">
        <v>286008058</v>
      </c>
      <c r="N77" s="15">
        <f t="shared" si="4"/>
        <v>0.99139036250000001</v>
      </c>
      <c r="O77" s="15">
        <f t="shared" si="5"/>
        <v>0.715020145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175412496</v>
      </c>
      <c r="I78" s="14">
        <v>25807504</v>
      </c>
      <c r="J78" s="13">
        <v>175412496</v>
      </c>
      <c r="K78" s="13">
        <v>53866667</v>
      </c>
      <c r="L78" s="13">
        <v>53866667</v>
      </c>
      <c r="M78" s="13">
        <v>53866667</v>
      </c>
      <c r="N78" s="15">
        <f t="shared" si="4"/>
        <v>0.87174483649736612</v>
      </c>
      <c r="O78" s="15">
        <f t="shared" si="5"/>
        <v>0.26770036278699932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770481633</v>
      </c>
      <c r="I79" s="14">
        <v>80536367</v>
      </c>
      <c r="J79" s="13">
        <v>770481633</v>
      </c>
      <c r="K79" s="13">
        <v>395445688</v>
      </c>
      <c r="L79" s="13">
        <v>395445688</v>
      </c>
      <c r="M79" s="13">
        <v>395445688</v>
      </c>
      <c r="N79" s="15">
        <f t="shared" si="4"/>
        <v>0.90536467266262288</v>
      </c>
      <c r="O79" s="15">
        <f t="shared" si="5"/>
        <v>0.46467370607907238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121800000</v>
      </c>
      <c r="I80" s="18">
        <f t="shared" si="50"/>
        <v>78200000</v>
      </c>
      <c r="J80" s="18">
        <f t="shared" si="50"/>
        <v>121800000</v>
      </c>
      <c r="K80" s="18">
        <f t="shared" si="50"/>
        <v>56388373</v>
      </c>
      <c r="L80" s="18">
        <f t="shared" si="50"/>
        <v>56388373</v>
      </c>
      <c r="M80" s="18">
        <f t="shared" si="50"/>
        <v>56388373</v>
      </c>
      <c r="N80" s="20">
        <f t="shared" si="4"/>
        <v>0.60899999999999999</v>
      </c>
      <c r="O80" s="20">
        <f t="shared" si="5"/>
        <v>0.28194186500000001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41800000</v>
      </c>
      <c r="I82" s="14">
        <v>78200000</v>
      </c>
      <c r="J82" s="13">
        <v>41800000</v>
      </c>
      <c r="K82" s="13">
        <v>13000000</v>
      </c>
      <c r="L82" s="13">
        <v>13000000</v>
      </c>
      <c r="M82" s="13">
        <v>13000000</v>
      </c>
      <c r="N82" s="15">
        <f>+J82/F82</f>
        <v>0.34833333333333333</v>
      </c>
      <c r="O82" s="15">
        <f>+K82/F82</f>
        <v>0.10833333333333334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301440908.82999998</v>
      </c>
      <c r="I83" s="18">
        <f t="shared" si="51"/>
        <v>27447906.170000002</v>
      </c>
      <c r="J83" s="18">
        <f t="shared" si="51"/>
        <v>301440908.82999998</v>
      </c>
      <c r="K83" s="18">
        <f t="shared" si="51"/>
        <v>123435505</v>
      </c>
      <c r="L83" s="18">
        <f t="shared" si="51"/>
        <v>123435505</v>
      </c>
      <c r="M83" s="18">
        <f t="shared" si="51"/>
        <v>123435505</v>
      </c>
      <c r="N83" s="20">
        <f t="shared" si="4"/>
        <v>0.91654350978764654</v>
      </c>
      <c r="O83" s="20">
        <f t="shared" si="5"/>
        <v>0.37531074141271725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275729484.82999998</v>
      </c>
      <c r="I84" s="14">
        <v>18470996.170000002</v>
      </c>
      <c r="J84" s="13">
        <v>275729484.82999998</v>
      </c>
      <c r="K84" s="13">
        <v>123435505</v>
      </c>
      <c r="L84" s="13">
        <v>123435505</v>
      </c>
      <c r="M84" s="13">
        <v>123435505</v>
      </c>
      <c r="N84" s="15">
        <f t="shared" si="4"/>
        <v>0.93721629513583282</v>
      </c>
      <c r="O84" s="15">
        <f t="shared" si="5"/>
        <v>0.41956255333246717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2610857940</v>
      </c>
      <c r="E86" s="8">
        <f t="shared" si="52"/>
        <v>2610857940</v>
      </c>
      <c r="F86" s="8">
        <f t="shared" si="52"/>
        <v>36191962728</v>
      </c>
      <c r="G86" s="8">
        <f t="shared" si="52"/>
        <v>2861504000</v>
      </c>
      <c r="H86" s="8">
        <f t="shared" si="52"/>
        <v>31164460168.219997</v>
      </c>
      <c r="I86" s="8">
        <f t="shared" si="52"/>
        <v>2165998559.7800016</v>
      </c>
      <c r="J86" s="8">
        <f t="shared" si="52"/>
        <v>27478316477.239998</v>
      </c>
      <c r="K86" s="8">
        <f t="shared" si="52"/>
        <v>23844750451.02</v>
      </c>
      <c r="L86" s="8">
        <f t="shared" si="52"/>
        <v>23844750451.02</v>
      </c>
      <c r="M86" s="8">
        <f t="shared" si="52"/>
        <v>23844750451.02</v>
      </c>
      <c r="N86" s="9">
        <f t="shared" si="4"/>
        <v>0.75923808508957524</v>
      </c>
      <c r="O86" s="10">
        <f t="shared" si="5"/>
        <v>0.65884104242217434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87"/>
  <sheetViews>
    <sheetView showGridLines="0" zoomScaleNormal="100" workbookViewId="0">
      <pane xSplit="1" ySplit="4" topLeftCell="B80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1" hidden="1" customWidth="1"/>
    <col min="17" max="17" width="14.7109375" style="21" hidden="1" customWidth="1"/>
    <col min="18" max="18" width="12.5703125" style="21" hidden="1" customWidth="1"/>
    <col min="19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262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 t="s">
        <v>267</v>
      </c>
      <c r="Q4" s="38" t="s">
        <v>265</v>
      </c>
      <c r="R4" s="21" t="s">
        <v>266</v>
      </c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2776857940</v>
      </c>
      <c r="E5" s="7">
        <f t="shared" si="0"/>
        <v>5638361940</v>
      </c>
      <c r="F5" s="7">
        <f t="shared" si="0"/>
        <v>26330458728.000111</v>
      </c>
      <c r="G5" s="7">
        <f t="shared" si="0"/>
        <v>1E-4</v>
      </c>
      <c r="H5" s="7">
        <f t="shared" si="0"/>
        <v>24546150778.68</v>
      </c>
      <c r="I5" s="7">
        <f t="shared" si="0"/>
        <v>1784307949.3200107</v>
      </c>
      <c r="J5" s="7">
        <f t="shared" si="0"/>
        <v>24546150778.68</v>
      </c>
      <c r="K5" s="7">
        <f t="shared" si="0"/>
        <v>24318093207.34</v>
      </c>
      <c r="L5" s="7">
        <f t="shared" si="0"/>
        <v>24318093207.34</v>
      </c>
      <c r="M5" s="7">
        <f t="shared" si="0"/>
        <v>24318093207.34</v>
      </c>
      <c r="N5" s="9">
        <f>+J5/F5</f>
        <v>0.93223407279939807</v>
      </c>
      <c r="O5" s="10">
        <f>+K5/F5</f>
        <v>0.92357271320456946</v>
      </c>
      <c r="P5" s="56">
        <f t="shared" ref="P5:P6" si="1">+H5-J5</f>
        <v>0</v>
      </c>
      <c r="Q5" s="56">
        <f t="shared" ref="Q5:Q6" si="2">+J5-K5</f>
        <v>228057571.34000015</v>
      </c>
      <c r="R5" s="56">
        <f t="shared" ref="R5:R6" si="3">+K5-L5</f>
        <v>0</v>
      </c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1099504000</v>
      </c>
      <c r="E6" s="7">
        <f>+E7+E36+E37</f>
        <v>1526008000</v>
      </c>
      <c r="F6" s="7">
        <f t="shared" ref="F6:L6" si="4">+F7+F36+F37</f>
        <v>15152685000.000099</v>
      </c>
      <c r="G6" s="7">
        <f t="shared" si="4"/>
        <v>1E-4</v>
      </c>
      <c r="H6" s="7">
        <f t="shared" si="4"/>
        <v>14798327872</v>
      </c>
      <c r="I6" s="7">
        <f t="shared" si="4"/>
        <v>354357128</v>
      </c>
      <c r="J6" s="7">
        <f t="shared" si="4"/>
        <v>14798327872</v>
      </c>
      <c r="K6" s="7">
        <f t="shared" si="4"/>
        <v>14784907670</v>
      </c>
      <c r="L6" s="7">
        <f t="shared" si="4"/>
        <v>14784907670</v>
      </c>
      <c r="M6" s="7">
        <f>+M7+M36+M37</f>
        <v>14784907670</v>
      </c>
      <c r="N6" s="9">
        <f>+J6/F6</f>
        <v>0.97661423516689638</v>
      </c>
      <c r="O6" s="10">
        <f>+K6/F6</f>
        <v>0.97572857021708714</v>
      </c>
      <c r="P6" s="56">
        <f t="shared" si="1"/>
        <v>0</v>
      </c>
      <c r="Q6" s="56">
        <f t="shared" si="2"/>
        <v>13420202</v>
      </c>
      <c r="R6" s="56">
        <f t="shared" si="3"/>
        <v>0</v>
      </c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673000000</v>
      </c>
      <c r="E7" s="18">
        <f>+E8+E20+E30</f>
        <v>673000000</v>
      </c>
      <c r="F7" s="19">
        <f t="shared" ref="F7:F30" si="5">+C7+D7-E7</f>
        <v>15152685000</v>
      </c>
      <c r="G7" s="18">
        <f>+G8+G20+G30</f>
        <v>0</v>
      </c>
      <c r="H7" s="18">
        <f>+H8+H20+H30</f>
        <v>14798327872</v>
      </c>
      <c r="I7" s="19">
        <f>+F7-G7-H7</f>
        <v>354357128</v>
      </c>
      <c r="J7" s="18">
        <f>+J8+J20+J30</f>
        <v>14798327872</v>
      </c>
      <c r="K7" s="18">
        <f>+K8+K20+K30</f>
        <v>14784907670</v>
      </c>
      <c r="L7" s="18">
        <f>+L8+L20+L30</f>
        <v>14784907670</v>
      </c>
      <c r="M7" s="18">
        <f>+M8+M20+M30</f>
        <v>14784907670</v>
      </c>
      <c r="N7" s="20">
        <f>+J7/F7</f>
        <v>0.97661423516690271</v>
      </c>
      <c r="O7" s="20">
        <f>+K7/F7</f>
        <v>0.97572857021709358</v>
      </c>
      <c r="P7" s="56">
        <f t="shared" ref="P7:P8" si="6">+H7-J7</f>
        <v>0</v>
      </c>
      <c r="Q7" s="56">
        <f t="shared" ref="Q7:Q8" si="7">+J7-K7</f>
        <v>13420202</v>
      </c>
      <c r="R7" s="56">
        <f t="shared" ref="R7:R8" si="8">+K7-L7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120000000</v>
      </c>
      <c r="E8" s="18">
        <f>+E9</f>
        <v>260000000</v>
      </c>
      <c r="F8" s="19">
        <f t="shared" si="5"/>
        <v>10343261000</v>
      </c>
      <c r="G8" s="18">
        <f>+G9</f>
        <v>0</v>
      </c>
      <c r="H8" s="18">
        <f>+H9</f>
        <v>10131682427</v>
      </c>
      <c r="I8" s="19">
        <f t="shared" ref="I8:I37" si="9">+F8-G8-H8</f>
        <v>211578573</v>
      </c>
      <c r="J8" s="18">
        <f>+J9</f>
        <v>10131682427</v>
      </c>
      <c r="K8" s="18">
        <f>+K9</f>
        <v>10125393827</v>
      </c>
      <c r="L8" s="18">
        <f>+L9</f>
        <v>10125393827</v>
      </c>
      <c r="M8" s="18">
        <f>+M9</f>
        <v>10125393827</v>
      </c>
      <c r="N8" s="20">
        <f t="shared" ref="N8:N86" si="10">+J8/F8</f>
        <v>0.97954430686801774</v>
      </c>
      <c r="O8" s="20">
        <f t="shared" ref="O8:O86" si="11">+K8/F8</f>
        <v>0.97893631679602788</v>
      </c>
      <c r="P8" s="56">
        <f t="shared" si="6"/>
        <v>0</v>
      </c>
      <c r="Q8" s="56">
        <f t="shared" si="7"/>
        <v>6288600</v>
      </c>
      <c r="R8" s="56">
        <f t="shared" si="8"/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120000000</v>
      </c>
      <c r="E9" s="18">
        <f>SUM(E10:E19)</f>
        <v>260000000</v>
      </c>
      <c r="F9" s="19">
        <f t="shared" si="5"/>
        <v>10343261000</v>
      </c>
      <c r="G9" s="18">
        <f>SUM(G10:G19)</f>
        <v>0</v>
      </c>
      <c r="H9" s="18">
        <f>SUM(H10:H19)</f>
        <v>10131682427</v>
      </c>
      <c r="I9" s="19">
        <f t="shared" si="9"/>
        <v>211578573</v>
      </c>
      <c r="J9" s="18">
        <f>SUM(J10:J19)</f>
        <v>10131682427</v>
      </c>
      <c r="K9" s="18">
        <f>SUM(K10:K19)</f>
        <v>10125393827</v>
      </c>
      <c r="L9" s="18">
        <f>SUM(L10:L19)</f>
        <v>10125393827</v>
      </c>
      <c r="M9" s="18">
        <f>SUM(M10:M19)</f>
        <v>10125393827</v>
      </c>
      <c r="N9" s="20">
        <f t="shared" si="10"/>
        <v>0.97954430686801774</v>
      </c>
      <c r="O9" s="20">
        <f t="shared" si="11"/>
        <v>0.97893631679602788</v>
      </c>
      <c r="P9" s="56">
        <f>+H9-J9</f>
        <v>0</v>
      </c>
      <c r="Q9" s="56">
        <f>+J9-K9</f>
        <v>6288600</v>
      </c>
      <c r="R9" s="56">
        <f>+K9-L9</f>
        <v>0</v>
      </c>
    </row>
    <row r="10" spans="1:22" x14ac:dyDescent="0.25">
      <c r="A10" s="11" t="s">
        <v>50</v>
      </c>
      <c r="B10" s="12" t="s">
        <v>51</v>
      </c>
      <c r="C10" s="13">
        <f>datos!Q5</f>
        <v>7663000000</v>
      </c>
      <c r="D10" s="13">
        <f>datos!R5</f>
        <v>120000000</v>
      </c>
      <c r="E10" s="13">
        <f>datos!S5</f>
        <v>0</v>
      </c>
      <c r="F10" s="14">
        <f>datos!T5</f>
        <v>7783000000</v>
      </c>
      <c r="G10" s="13">
        <f>datos!U5</f>
        <v>0</v>
      </c>
      <c r="H10" s="13">
        <f>datos!V5</f>
        <v>7756293116</v>
      </c>
      <c r="I10" s="14">
        <f>datos!W5</f>
        <v>26706884</v>
      </c>
      <c r="J10" s="13">
        <f>datos!X5</f>
        <v>7756293116</v>
      </c>
      <c r="K10" s="13">
        <f>datos!Y5</f>
        <v>7756293116</v>
      </c>
      <c r="L10" s="13">
        <f>datos!Z5</f>
        <v>7756293116</v>
      </c>
      <c r="M10" s="13">
        <f>datos!AA5</f>
        <v>7756293116</v>
      </c>
      <c r="N10" s="15">
        <f t="shared" si="10"/>
        <v>0.99656856173711938</v>
      </c>
      <c r="O10" s="15">
        <f t="shared" si="11"/>
        <v>0.99656856173711938</v>
      </c>
      <c r="P10" s="56">
        <f t="shared" ref="P10:P73" si="12">+H10-J10</f>
        <v>0</v>
      </c>
      <c r="Q10" s="56">
        <f t="shared" ref="Q10:Q73" si="13">+J10-K10</f>
        <v>0</v>
      </c>
      <c r="R10" s="56">
        <f t="shared" ref="R10:R73" si="14">+K10-L10</f>
        <v>0</v>
      </c>
    </row>
    <row r="11" spans="1:22" x14ac:dyDescent="0.25">
      <c r="A11" s="11" t="s">
        <v>52</v>
      </c>
      <c r="B11" s="12" t="s">
        <v>53</v>
      </c>
      <c r="C11" s="13">
        <f>datos!Q6</f>
        <v>73000000</v>
      </c>
      <c r="D11" s="13">
        <f>datos!R6</f>
        <v>0</v>
      </c>
      <c r="E11" s="13">
        <f>datos!S6</f>
        <v>0</v>
      </c>
      <c r="F11" s="14">
        <f>datos!T6</f>
        <v>73000000</v>
      </c>
      <c r="G11" s="13">
        <f>datos!U6</f>
        <v>0</v>
      </c>
      <c r="H11" s="13">
        <f>datos!V6</f>
        <v>70744956</v>
      </c>
      <c r="I11" s="14">
        <f>datos!W6</f>
        <v>2255044</v>
      </c>
      <c r="J11" s="13">
        <f>datos!X6</f>
        <v>70744956</v>
      </c>
      <c r="K11" s="13">
        <f>datos!Y6</f>
        <v>70744956</v>
      </c>
      <c r="L11" s="13">
        <f>datos!Z6</f>
        <v>70744956</v>
      </c>
      <c r="M11" s="13">
        <f>datos!AA6</f>
        <v>70744956</v>
      </c>
      <c r="N11" s="15">
        <f t="shared" si="10"/>
        <v>0.96910898630136988</v>
      </c>
      <c r="O11" s="15">
        <f t="shared" si="11"/>
        <v>0.96910898630136988</v>
      </c>
      <c r="P11" s="56">
        <f t="shared" si="12"/>
        <v>0</v>
      </c>
      <c r="Q11" s="56">
        <f t="shared" si="13"/>
        <v>0</v>
      </c>
      <c r="R11" s="56">
        <f t="shared" si="14"/>
        <v>0</v>
      </c>
    </row>
    <row r="12" spans="1:22" x14ac:dyDescent="0.25">
      <c r="A12" s="11" t="s">
        <v>54</v>
      </c>
      <c r="B12" s="12" t="s">
        <v>55</v>
      </c>
      <c r="C12" s="13">
        <f>datos!Q7</f>
        <v>640000000</v>
      </c>
      <c r="D12" s="13">
        <f>datos!R7</f>
        <v>0</v>
      </c>
      <c r="E12" s="13">
        <f>datos!S7</f>
        <v>120000000</v>
      </c>
      <c r="F12" s="14">
        <f>datos!T7</f>
        <v>520000000</v>
      </c>
      <c r="G12" s="13">
        <f>datos!U7</f>
        <v>0</v>
      </c>
      <c r="H12" s="13">
        <f>datos!V7</f>
        <v>492354096</v>
      </c>
      <c r="I12" s="14">
        <f>datos!W7</f>
        <v>27645904</v>
      </c>
      <c r="J12" s="13">
        <f>datos!X7</f>
        <v>492354096</v>
      </c>
      <c r="K12" s="13">
        <f>datos!Y7</f>
        <v>492354096</v>
      </c>
      <c r="L12" s="13">
        <f>datos!Z7</f>
        <v>492354096</v>
      </c>
      <c r="M12" s="13">
        <f>datos!AA7</f>
        <v>492354096</v>
      </c>
      <c r="N12" s="15">
        <f t="shared" si="10"/>
        <v>0.94683479999999998</v>
      </c>
      <c r="O12" s="15">
        <f t="shared" si="11"/>
        <v>0.94683479999999998</v>
      </c>
      <c r="P12" s="56">
        <f t="shared" si="12"/>
        <v>0</v>
      </c>
      <c r="Q12" s="56">
        <f t="shared" si="13"/>
        <v>0</v>
      </c>
      <c r="R12" s="56">
        <f t="shared" si="14"/>
        <v>0</v>
      </c>
    </row>
    <row r="13" spans="1:22" x14ac:dyDescent="0.25">
      <c r="A13" s="11" t="s">
        <v>56</v>
      </c>
      <c r="B13" s="12" t="s">
        <v>57</v>
      </c>
      <c r="C13" s="13">
        <f>datos!Q8</f>
        <v>14000000</v>
      </c>
      <c r="D13" s="13">
        <f>datos!R8</f>
        <v>0</v>
      </c>
      <c r="E13" s="13">
        <f>datos!S8</f>
        <v>0</v>
      </c>
      <c r="F13" s="14">
        <f>datos!T8</f>
        <v>14000000</v>
      </c>
      <c r="G13" s="13">
        <f>datos!U8</f>
        <v>0</v>
      </c>
      <c r="H13" s="13">
        <f>datos!V8</f>
        <v>13181318</v>
      </c>
      <c r="I13" s="14">
        <f>datos!W8</f>
        <v>818682</v>
      </c>
      <c r="J13" s="13">
        <f>datos!X8</f>
        <v>13181318</v>
      </c>
      <c r="K13" s="13">
        <f>datos!Y8</f>
        <v>13181318</v>
      </c>
      <c r="L13" s="13">
        <f>datos!Z8</f>
        <v>13181318</v>
      </c>
      <c r="M13" s="13">
        <f>datos!AA8</f>
        <v>13181318</v>
      </c>
      <c r="N13" s="15">
        <f t="shared" si="10"/>
        <v>0.94152271428571432</v>
      </c>
      <c r="O13" s="15">
        <f t="shared" si="11"/>
        <v>0.94152271428571432</v>
      </c>
      <c r="P13" s="56">
        <f t="shared" si="12"/>
        <v>0</v>
      </c>
      <c r="Q13" s="56">
        <f t="shared" si="13"/>
        <v>0</v>
      </c>
      <c r="R13" s="56">
        <f t="shared" si="14"/>
        <v>0</v>
      </c>
    </row>
    <row r="14" spans="1:22" x14ac:dyDescent="0.25">
      <c r="A14" s="11" t="s">
        <v>58</v>
      </c>
      <c r="B14" s="12" t="s">
        <v>178</v>
      </c>
      <c r="C14" s="13">
        <f>datos!Q9</f>
        <v>5000000</v>
      </c>
      <c r="D14" s="13">
        <f>datos!R9</f>
        <v>0</v>
      </c>
      <c r="E14" s="13">
        <f>datos!S9</f>
        <v>0</v>
      </c>
      <c r="F14" s="14">
        <f>datos!T9</f>
        <v>5000000</v>
      </c>
      <c r="G14" s="13">
        <f>datos!U9</f>
        <v>0</v>
      </c>
      <c r="H14" s="13">
        <f>datos!V9</f>
        <v>0</v>
      </c>
      <c r="I14" s="14">
        <f>datos!W9</f>
        <v>5000000</v>
      </c>
      <c r="J14" s="13">
        <f>datos!X9</f>
        <v>0</v>
      </c>
      <c r="K14" s="13">
        <f>datos!Y9</f>
        <v>0</v>
      </c>
      <c r="L14" s="13">
        <f>datos!Z9</f>
        <v>0</v>
      </c>
      <c r="M14" s="13">
        <f>datos!AA9</f>
        <v>0</v>
      </c>
      <c r="N14" s="15">
        <f t="shared" si="10"/>
        <v>0</v>
      </c>
      <c r="O14" s="15">
        <f t="shared" si="11"/>
        <v>0</v>
      </c>
      <c r="P14" s="56">
        <f t="shared" si="12"/>
        <v>0</v>
      </c>
      <c r="Q14" s="56">
        <f t="shared" si="13"/>
        <v>0</v>
      </c>
      <c r="R14" s="56">
        <f t="shared" si="14"/>
        <v>0</v>
      </c>
    </row>
    <row r="15" spans="1:22" x14ac:dyDescent="0.25">
      <c r="A15" s="11" t="s">
        <v>59</v>
      </c>
      <c r="B15" s="12" t="s">
        <v>14</v>
      </c>
      <c r="C15" s="13">
        <f>datos!Q10</f>
        <v>404000000</v>
      </c>
      <c r="D15" s="13">
        <f>datos!R10</f>
        <v>0</v>
      </c>
      <c r="E15" s="13">
        <f>datos!S10</f>
        <v>20000000</v>
      </c>
      <c r="F15" s="14">
        <f>datos!T10</f>
        <v>384000000</v>
      </c>
      <c r="G15" s="13">
        <f>datos!U10</f>
        <v>0</v>
      </c>
      <c r="H15" s="13">
        <f>datos!V10</f>
        <v>349325253</v>
      </c>
      <c r="I15" s="14">
        <f>datos!W10</f>
        <v>34674747</v>
      </c>
      <c r="J15" s="13">
        <f>datos!X10</f>
        <v>349325253</v>
      </c>
      <c r="K15" s="13">
        <f>datos!Y10</f>
        <v>349325253</v>
      </c>
      <c r="L15" s="13">
        <f>datos!Z10</f>
        <v>349325253</v>
      </c>
      <c r="M15" s="13">
        <f>datos!AA10</f>
        <v>349325253</v>
      </c>
      <c r="N15" s="15">
        <f t="shared" si="10"/>
        <v>0.90970117968749997</v>
      </c>
      <c r="O15" s="15">
        <f t="shared" si="11"/>
        <v>0.90970117968749997</v>
      </c>
      <c r="P15" s="56">
        <f t="shared" si="12"/>
        <v>0</v>
      </c>
      <c r="Q15" s="56">
        <f t="shared" si="13"/>
        <v>0</v>
      </c>
      <c r="R15" s="56">
        <f t="shared" si="14"/>
        <v>0</v>
      </c>
    </row>
    <row r="16" spans="1:22" x14ac:dyDescent="0.25">
      <c r="A16" s="11" t="s">
        <v>60</v>
      </c>
      <c r="B16" s="12" t="s">
        <v>61</v>
      </c>
      <c r="C16" s="13">
        <f>datos!Q11</f>
        <v>287000000</v>
      </c>
      <c r="D16" s="13">
        <f>datos!R11</f>
        <v>0</v>
      </c>
      <c r="E16" s="13">
        <f>datos!S11</f>
        <v>0</v>
      </c>
      <c r="F16" s="14">
        <f>datos!T11</f>
        <v>287000000</v>
      </c>
      <c r="G16" s="13">
        <f>datos!U11</f>
        <v>0</v>
      </c>
      <c r="H16" s="13">
        <f>datos!V11</f>
        <v>248490703</v>
      </c>
      <c r="I16" s="14">
        <f>datos!W11</f>
        <v>38509297</v>
      </c>
      <c r="J16" s="13">
        <f>datos!X11</f>
        <v>248490703</v>
      </c>
      <c r="K16" s="13">
        <f>datos!Y11</f>
        <v>248490703</v>
      </c>
      <c r="L16" s="13">
        <f>datos!Z11</f>
        <v>248490703</v>
      </c>
      <c r="M16" s="13">
        <f>datos!AA11</f>
        <v>248490703</v>
      </c>
      <c r="N16" s="15">
        <f t="shared" si="10"/>
        <v>0.86582126480836241</v>
      </c>
      <c r="O16" s="15">
        <f t="shared" si="11"/>
        <v>0.86582126480836241</v>
      </c>
      <c r="P16" s="56">
        <f t="shared" si="12"/>
        <v>0</v>
      </c>
      <c r="Q16" s="56">
        <f t="shared" si="13"/>
        <v>0</v>
      </c>
      <c r="R16" s="56">
        <f t="shared" si="14"/>
        <v>0</v>
      </c>
    </row>
    <row r="17" spans="1:18" x14ac:dyDescent="0.25">
      <c r="A17" s="11" t="s">
        <v>62</v>
      </c>
      <c r="B17" s="12" t="s">
        <v>63</v>
      </c>
      <c r="C17" s="13">
        <f>datos!Q12</f>
        <v>60000000</v>
      </c>
      <c r="D17" s="13">
        <f>datos!R12</f>
        <v>0</v>
      </c>
      <c r="E17" s="13">
        <f>datos!S12</f>
        <v>0</v>
      </c>
      <c r="F17" s="14">
        <f>datos!T12</f>
        <v>60000000</v>
      </c>
      <c r="G17" s="13">
        <f>datos!U12</f>
        <v>0</v>
      </c>
      <c r="H17" s="13">
        <f>datos!V12</f>
        <v>46968291</v>
      </c>
      <c r="I17" s="14">
        <f>datos!W12</f>
        <v>13031709</v>
      </c>
      <c r="J17" s="13">
        <f>datos!X12</f>
        <v>46968291</v>
      </c>
      <c r="K17" s="13">
        <f>datos!Y12</f>
        <v>45715250</v>
      </c>
      <c r="L17" s="13">
        <f>datos!Z12</f>
        <v>45715250</v>
      </c>
      <c r="M17" s="13">
        <f>datos!AA12</f>
        <v>45715250</v>
      </c>
      <c r="N17" s="15">
        <f t="shared" si="10"/>
        <v>0.78280485</v>
      </c>
      <c r="O17" s="15">
        <f t="shared" si="11"/>
        <v>0.76192083333333338</v>
      </c>
      <c r="P17" s="56">
        <f t="shared" si="12"/>
        <v>0</v>
      </c>
      <c r="Q17" s="56">
        <f t="shared" si="13"/>
        <v>1253041</v>
      </c>
      <c r="R17" s="56">
        <f t="shared" si="14"/>
        <v>0</v>
      </c>
    </row>
    <row r="18" spans="1:18" x14ac:dyDescent="0.25">
      <c r="A18" s="11" t="s">
        <v>64</v>
      </c>
      <c r="B18" s="12" t="s">
        <v>16</v>
      </c>
      <c r="C18" s="13">
        <f>datos!Q13</f>
        <v>850000000</v>
      </c>
      <c r="D18" s="13">
        <f>datos!R13</f>
        <v>0</v>
      </c>
      <c r="E18" s="13">
        <f>datos!S13</f>
        <v>20000000</v>
      </c>
      <c r="F18" s="14">
        <f>datos!T13</f>
        <v>830000000</v>
      </c>
      <c r="G18" s="13">
        <f>datos!U13</f>
        <v>0</v>
      </c>
      <c r="H18" s="13">
        <f>datos!V13</f>
        <v>814791170</v>
      </c>
      <c r="I18" s="14">
        <f>datos!W13</f>
        <v>15208830</v>
      </c>
      <c r="J18" s="13">
        <f>datos!X13</f>
        <v>814791170</v>
      </c>
      <c r="K18" s="13">
        <f>datos!Y13</f>
        <v>814791170</v>
      </c>
      <c r="L18" s="13">
        <f>datos!Z13</f>
        <v>814791170</v>
      </c>
      <c r="M18" s="13">
        <f>datos!AA13</f>
        <v>814791170</v>
      </c>
      <c r="N18" s="15">
        <f t="shared" si="10"/>
        <v>0.98167610843373498</v>
      </c>
      <c r="O18" s="15">
        <f t="shared" si="11"/>
        <v>0.98167610843373498</v>
      </c>
      <c r="P18" s="56">
        <f t="shared" si="12"/>
        <v>0</v>
      </c>
      <c r="Q18" s="56">
        <f t="shared" si="13"/>
        <v>0</v>
      </c>
      <c r="R18" s="56">
        <f t="shared" si="14"/>
        <v>0</v>
      </c>
    </row>
    <row r="19" spans="1:18" x14ac:dyDescent="0.25">
      <c r="A19" s="11" t="s">
        <v>65</v>
      </c>
      <c r="B19" s="12" t="s">
        <v>15</v>
      </c>
      <c r="C19" s="13">
        <f>datos!Q14</f>
        <v>487261000</v>
      </c>
      <c r="D19" s="13">
        <f>datos!R14</f>
        <v>0</v>
      </c>
      <c r="E19" s="13">
        <f>datos!S14</f>
        <v>100000000</v>
      </c>
      <c r="F19" s="14">
        <f>datos!T14</f>
        <v>387261000</v>
      </c>
      <c r="G19" s="13">
        <f>datos!U14</f>
        <v>0</v>
      </c>
      <c r="H19" s="13">
        <f>datos!V14</f>
        <v>339533524</v>
      </c>
      <c r="I19" s="14">
        <f>datos!W14</f>
        <v>47727476</v>
      </c>
      <c r="J19" s="13">
        <f>datos!X14</f>
        <v>339533524</v>
      </c>
      <c r="K19" s="13">
        <f>datos!Y14</f>
        <v>334497965</v>
      </c>
      <c r="L19" s="13">
        <f>datos!Z14</f>
        <v>334497965</v>
      </c>
      <c r="M19" s="13">
        <f>datos!AA14</f>
        <v>334497965</v>
      </c>
      <c r="N19" s="15">
        <f t="shared" si="10"/>
        <v>0.87675630647031333</v>
      </c>
      <c r="O19" s="15">
        <f t="shared" si="11"/>
        <v>0.86375329558101643</v>
      </c>
      <c r="P19" s="56">
        <f t="shared" si="12"/>
        <v>0</v>
      </c>
      <c r="Q19" s="56">
        <f t="shared" si="13"/>
        <v>5035559</v>
      </c>
      <c r="R19" s="56">
        <f t="shared" si="14"/>
        <v>0</v>
      </c>
    </row>
    <row r="20" spans="1:18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15">SUM(D21:D29)</f>
        <v>46000000</v>
      </c>
      <c r="E20" s="18">
        <f t="shared" si="15"/>
        <v>246000000</v>
      </c>
      <c r="F20" s="19">
        <f t="shared" si="5"/>
        <v>3770666000</v>
      </c>
      <c r="G20" s="18">
        <f t="shared" ref="G20:H20" si="16">SUM(G21:G29)</f>
        <v>0</v>
      </c>
      <c r="H20" s="18">
        <f t="shared" si="16"/>
        <v>3706039248</v>
      </c>
      <c r="I20" s="19">
        <f>+F20-G20-H20</f>
        <v>64626752</v>
      </c>
      <c r="J20" s="18">
        <f t="shared" ref="J20" si="17">SUM(J21:J29)</f>
        <v>3706039248</v>
      </c>
      <c r="K20" s="18">
        <f t="shared" ref="K20:M20" si="18">SUM(K21:K29)</f>
        <v>3706039248</v>
      </c>
      <c r="L20" s="18">
        <f t="shared" si="18"/>
        <v>3706039248</v>
      </c>
      <c r="M20" s="18">
        <f t="shared" si="18"/>
        <v>3706039248</v>
      </c>
      <c r="N20" s="20">
        <f t="shared" si="10"/>
        <v>0.98286065326390615</v>
      </c>
      <c r="O20" s="20">
        <f t="shared" si="11"/>
        <v>0.98286065326390615</v>
      </c>
      <c r="P20" s="56">
        <f t="shared" si="12"/>
        <v>0</v>
      </c>
      <c r="Q20" s="56">
        <f t="shared" si="13"/>
        <v>0</v>
      </c>
      <c r="R20" s="56">
        <f t="shared" si="14"/>
        <v>0</v>
      </c>
    </row>
    <row r="21" spans="1:18" x14ac:dyDescent="0.25">
      <c r="A21" s="11" t="s">
        <v>68</v>
      </c>
      <c r="B21" s="12" t="s">
        <v>69</v>
      </c>
      <c r="C21" s="13">
        <f>datos!Q15</f>
        <v>1200666000</v>
      </c>
      <c r="D21" s="13">
        <f>datos!R15</f>
        <v>14000000</v>
      </c>
      <c r="E21" s="13">
        <f>datos!S15</f>
        <v>110000000</v>
      </c>
      <c r="F21" s="14">
        <f>datos!T15</f>
        <v>1104666000</v>
      </c>
      <c r="G21" s="13">
        <f>datos!U15</f>
        <v>0</v>
      </c>
      <c r="H21" s="13">
        <f>datos!V15</f>
        <v>1096570512</v>
      </c>
      <c r="I21" s="14">
        <f>datos!W15</f>
        <v>8095488</v>
      </c>
      <c r="J21" s="13">
        <f>datos!X15</f>
        <v>1096570512</v>
      </c>
      <c r="K21" s="13">
        <f>datos!Y15</f>
        <v>1096570512</v>
      </c>
      <c r="L21" s="13">
        <f>datos!Z15</f>
        <v>1096570512</v>
      </c>
      <c r="M21" s="13">
        <f>datos!AA15</f>
        <v>1096570512</v>
      </c>
      <c r="N21" s="15">
        <f t="shared" si="10"/>
        <v>0.99267155140105701</v>
      </c>
      <c r="O21" s="15">
        <f t="shared" si="11"/>
        <v>0.99267155140105701</v>
      </c>
      <c r="P21" s="56">
        <f t="shared" si="12"/>
        <v>0</v>
      </c>
      <c r="Q21" s="56">
        <f t="shared" si="13"/>
        <v>0</v>
      </c>
      <c r="R21" s="56">
        <f t="shared" si="14"/>
        <v>0</v>
      </c>
    </row>
    <row r="22" spans="1:18" x14ac:dyDescent="0.25">
      <c r="A22" s="11" t="s">
        <v>70</v>
      </c>
      <c r="B22" s="12" t="s">
        <v>71</v>
      </c>
      <c r="C22" s="13">
        <f>datos!Q16</f>
        <v>780000000</v>
      </c>
      <c r="D22" s="13">
        <f>datos!R16</f>
        <v>5000000</v>
      </c>
      <c r="E22" s="13">
        <f>datos!S16</f>
        <v>0</v>
      </c>
      <c r="F22" s="14">
        <f>datos!T16</f>
        <v>785000000</v>
      </c>
      <c r="G22" s="13">
        <f>datos!U16</f>
        <v>0</v>
      </c>
      <c r="H22" s="13">
        <f>datos!V16</f>
        <v>776775526</v>
      </c>
      <c r="I22" s="14">
        <f>datos!W16</f>
        <v>8224474</v>
      </c>
      <c r="J22" s="13">
        <f>datos!X16</f>
        <v>776775526</v>
      </c>
      <c r="K22" s="13">
        <f>datos!Y16</f>
        <v>776775526</v>
      </c>
      <c r="L22" s="13">
        <f>datos!Z16</f>
        <v>776775526</v>
      </c>
      <c r="M22" s="13">
        <f>datos!AA16</f>
        <v>776775526</v>
      </c>
      <c r="N22" s="15">
        <f t="shared" si="10"/>
        <v>0.98952296305732479</v>
      </c>
      <c r="O22" s="15">
        <f t="shared" si="11"/>
        <v>0.98952296305732479</v>
      </c>
      <c r="P22" s="56">
        <f t="shared" si="12"/>
        <v>0</v>
      </c>
      <c r="Q22" s="56">
        <f t="shared" si="13"/>
        <v>0</v>
      </c>
      <c r="R22" s="56">
        <f t="shared" si="14"/>
        <v>0</v>
      </c>
    </row>
    <row r="23" spans="1:18" x14ac:dyDescent="0.25">
      <c r="A23" s="11" t="s">
        <v>72</v>
      </c>
      <c r="B23" s="12" t="s">
        <v>73</v>
      </c>
      <c r="C23" s="13">
        <f>datos!Q17</f>
        <v>920000000</v>
      </c>
      <c r="D23" s="13">
        <f>datos!R17</f>
        <v>0</v>
      </c>
      <c r="E23" s="13">
        <f>datos!S17</f>
        <v>50000000</v>
      </c>
      <c r="F23" s="14">
        <f>datos!T17</f>
        <v>870000000</v>
      </c>
      <c r="G23" s="13">
        <f>datos!U17</f>
        <v>0</v>
      </c>
      <c r="H23" s="13">
        <f>datos!V17</f>
        <v>865042510</v>
      </c>
      <c r="I23" s="14">
        <f>datos!W17</f>
        <v>4957490</v>
      </c>
      <c r="J23" s="13">
        <f>datos!X17</f>
        <v>865042510</v>
      </c>
      <c r="K23" s="13">
        <f>datos!Y17</f>
        <v>865042510</v>
      </c>
      <c r="L23" s="13">
        <f>datos!Z17</f>
        <v>865042510</v>
      </c>
      <c r="M23" s="13">
        <f>datos!AA17</f>
        <v>865042510</v>
      </c>
      <c r="N23" s="15">
        <f t="shared" si="10"/>
        <v>0.99430173563218394</v>
      </c>
      <c r="O23" s="15">
        <f t="shared" si="11"/>
        <v>0.99430173563218394</v>
      </c>
      <c r="P23" s="56">
        <f t="shared" si="12"/>
        <v>0</v>
      </c>
      <c r="Q23" s="56">
        <f t="shared" si="13"/>
        <v>0</v>
      </c>
      <c r="R23" s="56">
        <f t="shared" si="14"/>
        <v>0</v>
      </c>
    </row>
    <row r="24" spans="1:18" x14ac:dyDescent="0.25">
      <c r="A24" s="11" t="s">
        <v>74</v>
      </c>
      <c r="B24" s="12" t="s">
        <v>75</v>
      </c>
      <c r="C24" s="13">
        <f>datos!Q18</f>
        <v>420000000</v>
      </c>
      <c r="D24" s="13">
        <f>datos!R18</f>
        <v>15000000</v>
      </c>
      <c r="E24" s="13">
        <f>datos!S18</f>
        <v>20000000</v>
      </c>
      <c r="F24" s="14">
        <f>datos!T18</f>
        <v>415000000</v>
      </c>
      <c r="G24" s="13">
        <f>datos!U18</f>
        <v>0</v>
      </c>
      <c r="H24" s="13">
        <f>datos!V18</f>
        <v>407386000</v>
      </c>
      <c r="I24" s="14">
        <f>datos!W18</f>
        <v>7614000</v>
      </c>
      <c r="J24" s="13">
        <f>datos!X18</f>
        <v>407386000</v>
      </c>
      <c r="K24" s="13">
        <f>datos!Y18</f>
        <v>407386000</v>
      </c>
      <c r="L24" s="13">
        <f>datos!Z18</f>
        <v>407386000</v>
      </c>
      <c r="M24" s="13">
        <f>datos!AA18</f>
        <v>407386000</v>
      </c>
      <c r="N24" s="15">
        <f t="shared" si="10"/>
        <v>0.98165301204819277</v>
      </c>
      <c r="O24" s="15">
        <f t="shared" si="11"/>
        <v>0.98165301204819277</v>
      </c>
      <c r="P24" s="56">
        <f t="shared" si="12"/>
        <v>0</v>
      </c>
      <c r="Q24" s="56">
        <f t="shared" si="13"/>
        <v>0</v>
      </c>
      <c r="R24" s="56">
        <f t="shared" si="14"/>
        <v>0</v>
      </c>
    </row>
    <row r="25" spans="1:18" ht="22.5" x14ac:dyDescent="0.25">
      <c r="A25" s="11" t="s">
        <v>76</v>
      </c>
      <c r="B25" s="12" t="s">
        <v>77</v>
      </c>
      <c r="C25" s="13">
        <f>datos!Q19</f>
        <v>70000000</v>
      </c>
      <c r="D25" s="13">
        <f>datos!R19</f>
        <v>0</v>
      </c>
      <c r="E25" s="13">
        <f>datos!S19</f>
        <v>10000000</v>
      </c>
      <c r="F25" s="14">
        <f>datos!T19</f>
        <v>60000000</v>
      </c>
      <c r="G25" s="13">
        <f>datos!U19</f>
        <v>0</v>
      </c>
      <c r="H25" s="13">
        <f>datos!V19</f>
        <v>50755200</v>
      </c>
      <c r="I25" s="14">
        <f>datos!W19</f>
        <v>9244800</v>
      </c>
      <c r="J25" s="13">
        <f>datos!X19</f>
        <v>50755200</v>
      </c>
      <c r="K25" s="13">
        <f>datos!Y19</f>
        <v>50755200</v>
      </c>
      <c r="L25" s="13">
        <f>datos!Z19</f>
        <v>50755200</v>
      </c>
      <c r="M25" s="13">
        <f>datos!AA19</f>
        <v>50755200</v>
      </c>
      <c r="N25" s="15">
        <f t="shared" si="10"/>
        <v>0.84592000000000001</v>
      </c>
      <c r="O25" s="15">
        <f t="shared" si="11"/>
        <v>0.84592000000000001</v>
      </c>
      <c r="P25" s="56">
        <f t="shared" si="12"/>
        <v>0</v>
      </c>
      <c r="Q25" s="56">
        <f t="shared" si="13"/>
        <v>0</v>
      </c>
      <c r="R25" s="56">
        <f t="shared" si="14"/>
        <v>0</v>
      </c>
    </row>
    <row r="26" spans="1:18" x14ac:dyDescent="0.25">
      <c r="A26" s="11" t="s">
        <v>78</v>
      </c>
      <c r="B26" s="12" t="s">
        <v>17</v>
      </c>
      <c r="C26" s="13">
        <f>datos!Q20</f>
        <v>320000000</v>
      </c>
      <c r="D26" s="13">
        <f>datos!R20</f>
        <v>12000000</v>
      </c>
      <c r="E26" s="13">
        <f>datos!S20</f>
        <v>20000000</v>
      </c>
      <c r="F26" s="14">
        <f>datos!T20</f>
        <v>312000000</v>
      </c>
      <c r="G26" s="13">
        <f>datos!U20</f>
        <v>0</v>
      </c>
      <c r="H26" s="13">
        <f>datos!V20</f>
        <v>305543500</v>
      </c>
      <c r="I26" s="14">
        <f>datos!W20</f>
        <v>6456500</v>
      </c>
      <c r="J26" s="13">
        <f>datos!X20</f>
        <v>305543500</v>
      </c>
      <c r="K26" s="13">
        <f>datos!Y20</f>
        <v>305543500</v>
      </c>
      <c r="L26" s="13">
        <f>datos!Z20</f>
        <v>305543500</v>
      </c>
      <c r="M26" s="13">
        <f>datos!AA20</f>
        <v>305543500</v>
      </c>
      <c r="N26" s="15">
        <f t="shared" si="10"/>
        <v>0.97930608974358979</v>
      </c>
      <c r="O26" s="15">
        <f t="shared" si="11"/>
        <v>0.97930608974358979</v>
      </c>
      <c r="P26" s="56">
        <f t="shared" si="12"/>
        <v>0</v>
      </c>
      <c r="Q26" s="56">
        <f t="shared" si="13"/>
        <v>0</v>
      </c>
      <c r="R26" s="56">
        <f t="shared" si="14"/>
        <v>0</v>
      </c>
    </row>
    <row r="27" spans="1:18" x14ac:dyDescent="0.25">
      <c r="A27" s="11" t="s">
        <v>79</v>
      </c>
      <c r="B27" s="12" t="s">
        <v>18</v>
      </c>
      <c r="C27" s="13">
        <f>datos!Q21</f>
        <v>70000000</v>
      </c>
      <c r="D27" s="13">
        <f>datos!R21</f>
        <v>0</v>
      </c>
      <c r="E27" s="13">
        <f>datos!S21</f>
        <v>12000000</v>
      </c>
      <c r="F27" s="14">
        <f>datos!T21</f>
        <v>58000000</v>
      </c>
      <c r="G27" s="13">
        <f>datos!U21</f>
        <v>0</v>
      </c>
      <c r="H27" s="13">
        <f>datos!V21</f>
        <v>51017300</v>
      </c>
      <c r="I27" s="14">
        <f>datos!W21</f>
        <v>6982700</v>
      </c>
      <c r="J27" s="13">
        <f>datos!X21</f>
        <v>51017300</v>
      </c>
      <c r="K27" s="13">
        <f>datos!Y21</f>
        <v>51017300</v>
      </c>
      <c r="L27" s="13">
        <f>datos!Z21</f>
        <v>51017300</v>
      </c>
      <c r="M27" s="13">
        <f>datos!AA21</f>
        <v>51017300</v>
      </c>
      <c r="N27" s="15">
        <f t="shared" si="10"/>
        <v>0.87960862068965517</v>
      </c>
      <c r="O27" s="15">
        <f t="shared" si="11"/>
        <v>0.87960862068965517</v>
      </c>
      <c r="P27" s="56">
        <f t="shared" si="12"/>
        <v>0</v>
      </c>
      <c r="Q27" s="56">
        <f t="shared" si="13"/>
        <v>0</v>
      </c>
      <c r="R27" s="56">
        <f t="shared" si="14"/>
        <v>0</v>
      </c>
    </row>
    <row r="28" spans="1:18" x14ac:dyDescent="0.25">
      <c r="A28" s="11" t="s">
        <v>80</v>
      </c>
      <c r="B28" s="12" t="s">
        <v>19</v>
      </c>
      <c r="C28" s="13">
        <f>datos!Q22</f>
        <v>70000000</v>
      </c>
      <c r="D28" s="13">
        <f>datos!R22</f>
        <v>0</v>
      </c>
      <c r="E28" s="13">
        <f>datos!S22</f>
        <v>12000000</v>
      </c>
      <c r="F28" s="14">
        <f>datos!T22</f>
        <v>58000000</v>
      </c>
      <c r="G28" s="13">
        <f>datos!U22</f>
        <v>0</v>
      </c>
      <c r="H28" s="13">
        <f>datos!V22</f>
        <v>51017300</v>
      </c>
      <c r="I28" s="14">
        <f>datos!W22</f>
        <v>6982700</v>
      </c>
      <c r="J28" s="13">
        <f>datos!X22</f>
        <v>51017300</v>
      </c>
      <c r="K28" s="13">
        <f>datos!Y22</f>
        <v>51017300</v>
      </c>
      <c r="L28" s="13">
        <f>datos!Z22</f>
        <v>51017300</v>
      </c>
      <c r="M28" s="13">
        <f>datos!AA22</f>
        <v>51017300</v>
      </c>
      <c r="N28" s="15">
        <f t="shared" si="10"/>
        <v>0.87960862068965517</v>
      </c>
      <c r="O28" s="15">
        <f t="shared" si="11"/>
        <v>0.87960862068965517</v>
      </c>
      <c r="P28" s="56">
        <f t="shared" si="12"/>
        <v>0</v>
      </c>
      <c r="Q28" s="56">
        <f t="shared" si="13"/>
        <v>0</v>
      </c>
      <c r="R28" s="56">
        <f t="shared" si="14"/>
        <v>0</v>
      </c>
    </row>
    <row r="29" spans="1:18" ht="22.5" x14ac:dyDescent="0.25">
      <c r="A29" s="11" t="s">
        <v>81</v>
      </c>
      <c r="B29" s="12" t="s">
        <v>82</v>
      </c>
      <c r="C29" s="13">
        <f>datos!Q23</f>
        <v>120000000</v>
      </c>
      <c r="D29" s="13">
        <f>datos!R23</f>
        <v>0</v>
      </c>
      <c r="E29" s="13">
        <f>datos!S23</f>
        <v>12000000</v>
      </c>
      <c r="F29" s="14">
        <f>datos!T23</f>
        <v>108000000</v>
      </c>
      <c r="G29" s="13">
        <f>datos!U23</f>
        <v>0</v>
      </c>
      <c r="H29" s="13">
        <f>datos!V23</f>
        <v>101931400</v>
      </c>
      <c r="I29" s="14">
        <f>datos!W23</f>
        <v>6068600</v>
      </c>
      <c r="J29" s="13">
        <f>datos!X23</f>
        <v>101931400</v>
      </c>
      <c r="K29" s="13">
        <f>datos!Y23</f>
        <v>101931400</v>
      </c>
      <c r="L29" s="13">
        <f>datos!Z23</f>
        <v>101931400</v>
      </c>
      <c r="M29" s="13">
        <f>datos!AA23</f>
        <v>101931400</v>
      </c>
      <c r="N29" s="15">
        <f t="shared" si="10"/>
        <v>0.94380925925925929</v>
      </c>
      <c r="O29" s="15">
        <f t="shared" si="11"/>
        <v>0.94380925925925929</v>
      </c>
      <c r="P29" s="56">
        <f t="shared" si="12"/>
        <v>0</v>
      </c>
      <c r="Q29" s="56">
        <f t="shared" si="13"/>
        <v>0</v>
      </c>
      <c r="R29" s="56">
        <f t="shared" si="14"/>
        <v>0</v>
      </c>
    </row>
    <row r="30" spans="1:18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9">SUM(D31:D35)</f>
        <v>507000000</v>
      </c>
      <c r="E30" s="18">
        <f t="shared" si="19"/>
        <v>167000000</v>
      </c>
      <c r="F30" s="19">
        <f t="shared" si="5"/>
        <v>1038758000</v>
      </c>
      <c r="G30" s="18">
        <f t="shared" ref="G30:H30" si="20">SUM(G31:G35)</f>
        <v>0</v>
      </c>
      <c r="H30" s="18">
        <f t="shared" si="20"/>
        <v>960606197</v>
      </c>
      <c r="I30" s="19">
        <f>+F30-G30-H30</f>
        <v>78151803</v>
      </c>
      <c r="J30" s="18">
        <f t="shared" ref="J30" si="21">SUM(J31:J35)</f>
        <v>960606197</v>
      </c>
      <c r="K30" s="18">
        <f t="shared" ref="K30:M30" si="22">SUM(K31:K35)</f>
        <v>953474595</v>
      </c>
      <c r="L30" s="18">
        <f t="shared" si="22"/>
        <v>953474595</v>
      </c>
      <c r="M30" s="18">
        <f t="shared" si="22"/>
        <v>953474595</v>
      </c>
      <c r="N30" s="20">
        <f t="shared" si="10"/>
        <v>0.92476418665367677</v>
      </c>
      <c r="O30" s="20">
        <f t="shared" si="11"/>
        <v>0.91789867803665537</v>
      </c>
      <c r="P30" s="56">
        <f t="shared" si="12"/>
        <v>0</v>
      </c>
      <c r="Q30" s="56">
        <f t="shared" si="13"/>
        <v>7131602</v>
      </c>
      <c r="R30" s="56">
        <f t="shared" si="14"/>
        <v>0</v>
      </c>
    </row>
    <row r="31" spans="1:18" x14ac:dyDescent="0.25">
      <c r="A31" s="11" t="s">
        <v>85</v>
      </c>
      <c r="B31" s="12" t="s">
        <v>86</v>
      </c>
      <c r="C31" s="13">
        <f>datos!Q24</f>
        <v>294262800</v>
      </c>
      <c r="D31" s="13">
        <f>datos!R24</f>
        <v>236000000</v>
      </c>
      <c r="E31" s="13">
        <f>datos!S24</f>
        <v>44000000</v>
      </c>
      <c r="F31" s="14">
        <f>datos!T24</f>
        <v>486262800</v>
      </c>
      <c r="G31" s="13">
        <f>datos!U24</f>
        <v>0</v>
      </c>
      <c r="H31" s="13">
        <f>datos!V24</f>
        <v>449443370</v>
      </c>
      <c r="I31" s="14">
        <f>datos!W24</f>
        <v>36819430</v>
      </c>
      <c r="J31" s="13">
        <f>datos!X24</f>
        <v>449443370</v>
      </c>
      <c r="K31" s="13">
        <f>datos!Y24</f>
        <v>442729291</v>
      </c>
      <c r="L31" s="13">
        <f>datos!Z24</f>
        <v>442729291</v>
      </c>
      <c r="M31" s="13">
        <f>datos!AA24</f>
        <v>442729291</v>
      </c>
      <c r="N31" s="15">
        <f t="shared" si="10"/>
        <v>0.92428080042314564</v>
      </c>
      <c r="O31" s="15">
        <f t="shared" si="11"/>
        <v>0.91047328934066107</v>
      </c>
      <c r="P31" s="56">
        <f t="shared" si="12"/>
        <v>0</v>
      </c>
      <c r="Q31" s="56">
        <f t="shared" si="13"/>
        <v>6714079</v>
      </c>
      <c r="R31" s="56">
        <f t="shared" si="14"/>
        <v>0</v>
      </c>
    </row>
    <row r="32" spans="1:18" x14ac:dyDescent="0.25">
      <c r="A32" s="11" t="s">
        <v>87</v>
      </c>
      <c r="B32" s="12" t="s">
        <v>88</v>
      </c>
      <c r="C32" s="13">
        <f>datos!Q25</f>
        <v>60000000</v>
      </c>
      <c r="D32" s="13">
        <f>datos!R25</f>
        <v>61000000</v>
      </c>
      <c r="E32" s="13">
        <f>datos!S25</f>
        <v>8000000</v>
      </c>
      <c r="F32" s="14">
        <f>datos!T25</f>
        <v>113000000</v>
      </c>
      <c r="G32" s="13">
        <f>datos!U25</f>
        <v>0</v>
      </c>
      <c r="H32" s="13">
        <f>datos!V25</f>
        <v>88169672</v>
      </c>
      <c r="I32" s="14">
        <f>datos!W25</f>
        <v>24830328</v>
      </c>
      <c r="J32" s="13">
        <f>datos!X25</f>
        <v>88169672</v>
      </c>
      <c r="K32" s="13">
        <f>datos!Y25</f>
        <v>88169672</v>
      </c>
      <c r="L32" s="13">
        <f>datos!Z25</f>
        <v>88169672</v>
      </c>
      <c r="M32" s="13">
        <f>datos!AA25</f>
        <v>88169672</v>
      </c>
      <c r="N32" s="15">
        <f t="shared" si="10"/>
        <v>0.78026258407079641</v>
      </c>
      <c r="O32" s="15">
        <f t="shared" si="11"/>
        <v>0.78026258407079641</v>
      </c>
      <c r="P32" s="56">
        <f t="shared" si="12"/>
        <v>0</v>
      </c>
      <c r="Q32" s="56">
        <f t="shared" si="13"/>
        <v>0</v>
      </c>
      <c r="R32" s="56">
        <f t="shared" si="14"/>
        <v>0</v>
      </c>
    </row>
    <row r="33" spans="1:22" x14ac:dyDescent="0.25">
      <c r="A33" s="11" t="s">
        <v>89</v>
      </c>
      <c r="B33" s="12" t="s">
        <v>90</v>
      </c>
      <c r="C33" s="13">
        <f>datos!Q26</f>
        <v>47548800</v>
      </c>
      <c r="D33" s="13">
        <f>datos!R26</f>
        <v>20000000</v>
      </c>
      <c r="E33" s="13">
        <f>datos!S26</f>
        <v>20000000</v>
      </c>
      <c r="F33" s="14">
        <f>datos!T26</f>
        <v>47548800</v>
      </c>
      <c r="G33" s="13">
        <f>datos!U26</f>
        <v>0</v>
      </c>
      <c r="H33" s="13">
        <f>datos!V26</f>
        <v>39818255</v>
      </c>
      <c r="I33" s="14">
        <f>datos!W26</f>
        <v>7730545</v>
      </c>
      <c r="J33" s="13">
        <f>datos!X26</f>
        <v>39818255</v>
      </c>
      <c r="K33" s="13">
        <f>datos!Y26</f>
        <v>39400732</v>
      </c>
      <c r="L33" s="13">
        <f>datos!Z26</f>
        <v>39400732</v>
      </c>
      <c r="M33" s="13">
        <f>datos!AA26</f>
        <v>39400732</v>
      </c>
      <c r="N33" s="15">
        <f t="shared" si="10"/>
        <v>0.83741871508849852</v>
      </c>
      <c r="O33" s="15">
        <f t="shared" si="11"/>
        <v>0.82863777845077058</v>
      </c>
      <c r="P33" s="56">
        <f t="shared" si="12"/>
        <v>0</v>
      </c>
      <c r="Q33" s="56">
        <f t="shared" si="13"/>
        <v>417523</v>
      </c>
      <c r="R33" s="56">
        <f t="shared" si="14"/>
        <v>0</v>
      </c>
    </row>
    <row r="34" spans="1:22" x14ac:dyDescent="0.25">
      <c r="A34" s="11" t="s">
        <v>91</v>
      </c>
      <c r="B34" s="12" t="s">
        <v>92</v>
      </c>
      <c r="C34" s="13">
        <f>datos!Q27</f>
        <v>153946400</v>
      </c>
      <c r="D34" s="13">
        <f>datos!R27</f>
        <v>180000000</v>
      </c>
      <c r="E34" s="13">
        <f>datos!S27</f>
        <v>15000000</v>
      </c>
      <c r="F34" s="14">
        <f>datos!T27</f>
        <v>318946400</v>
      </c>
      <c r="G34" s="13">
        <f>datos!U27</f>
        <v>0</v>
      </c>
      <c r="H34" s="13">
        <f>datos!V27</f>
        <v>313565647</v>
      </c>
      <c r="I34" s="14">
        <f>datos!W27</f>
        <v>5380753</v>
      </c>
      <c r="J34" s="13">
        <f>datos!X27</f>
        <v>313565647</v>
      </c>
      <c r="K34" s="13">
        <f>datos!Y27</f>
        <v>313565647</v>
      </c>
      <c r="L34" s="13">
        <f>datos!Z27</f>
        <v>313565647</v>
      </c>
      <c r="M34" s="13">
        <f>datos!AA27</f>
        <v>313565647</v>
      </c>
      <c r="N34" s="15">
        <f t="shared" si="10"/>
        <v>0.98312960108657754</v>
      </c>
      <c r="O34" s="15">
        <f t="shared" si="11"/>
        <v>0.98312960108657754</v>
      </c>
      <c r="P34" s="56">
        <f t="shared" si="12"/>
        <v>0</v>
      </c>
      <c r="Q34" s="56">
        <f t="shared" si="13"/>
        <v>0</v>
      </c>
      <c r="R34" s="56">
        <f t="shared" si="14"/>
        <v>0</v>
      </c>
    </row>
    <row r="35" spans="1:22" x14ac:dyDescent="0.25">
      <c r="A35" s="11" t="s">
        <v>93</v>
      </c>
      <c r="B35" s="12" t="s">
        <v>94</v>
      </c>
      <c r="C35" s="13">
        <f>datos!Q28</f>
        <v>143000000</v>
      </c>
      <c r="D35" s="13">
        <f>datos!R28</f>
        <v>10000000</v>
      </c>
      <c r="E35" s="13">
        <f>datos!S28</f>
        <v>80000000</v>
      </c>
      <c r="F35" s="14">
        <f>datos!T28</f>
        <v>73000000</v>
      </c>
      <c r="G35" s="13">
        <f>datos!U28</f>
        <v>0</v>
      </c>
      <c r="H35" s="13">
        <f>datos!V28</f>
        <v>69609253</v>
      </c>
      <c r="I35" s="14">
        <f>datos!W28</f>
        <v>3390747</v>
      </c>
      <c r="J35" s="13">
        <f>datos!X28</f>
        <v>69609253</v>
      </c>
      <c r="K35" s="13">
        <f>datos!Y28</f>
        <v>69609253</v>
      </c>
      <c r="L35" s="13">
        <f>datos!Z28</f>
        <v>69609253</v>
      </c>
      <c r="M35" s="13">
        <f>datos!AA28</f>
        <v>69609253</v>
      </c>
      <c r="N35" s="15">
        <f t="shared" si="10"/>
        <v>0.95355141095890406</v>
      </c>
      <c r="O35" s="15">
        <f t="shared" si="11"/>
        <v>0.95355141095890406</v>
      </c>
      <c r="P35" s="56">
        <f t="shared" si="12"/>
        <v>0</v>
      </c>
      <c r="Q35" s="56">
        <f t="shared" si="13"/>
        <v>0</v>
      </c>
      <c r="R35" s="56">
        <f t="shared" si="14"/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426504000</v>
      </c>
      <c r="F36" s="14">
        <f>+C36+D36-E36+0.0001</f>
        <v>1E-4</v>
      </c>
      <c r="G36" s="13">
        <f>+F36</f>
        <v>1E-4</v>
      </c>
      <c r="H36" s="13">
        <v>0</v>
      </c>
      <c r="I36" s="14">
        <f t="shared" si="9"/>
        <v>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10"/>
        <v>0</v>
      </c>
      <c r="O36" s="15">
        <f t="shared" si="11"/>
        <v>0</v>
      </c>
      <c r="P36" s="56">
        <f t="shared" si="12"/>
        <v>0</v>
      </c>
      <c r="Q36" s="56">
        <f t="shared" si="13"/>
        <v>0</v>
      </c>
      <c r="R36" s="56">
        <f t="shared" si="14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ref="F37" si="23">+C37+D37-E37</f>
        <v>0</v>
      </c>
      <c r="G37" s="13">
        <v>0</v>
      </c>
      <c r="H37" s="13">
        <v>0</v>
      </c>
      <c r="I37" s="14">
        <f t="shared" si="9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56">
        <f t="shared" si="12"/>
        <v>0</v>
      </c>
      <c r="Q37" s="56">
        <f t="shared" si="13"/>
        <v>0</v>
      </c>
      <c r="R37" s="56">
        <f t="shared" si="14"/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24">+D39+D43</f>
        <v>1559856600</v>
      </c>
      <c r="E38" s="8">
        <f t="shared" si="24"/>
        <v>1561914600</v>
      </c>
      <c r="F38" s="8">
        <f t="shared" si="24"/>
        <v>9895695728</v>
      </c>
      <c r="G38" s="8">
        <f t="shared" si="24"/>
        <v>0</v>
      </c>
      <c r="H38" s="8">
        <f t="shared" si="24"/>
        <v>9592740904.6800003</v>
      </c>
      <c r="I38" s="8">
        <f t="shared" si="24"/>
        <v>302954823.32000053</v>
      </c>
      <c r="J38" s="8">
        <f t="shared" si="24"/>
        <v>9592740904.6800003</v>
      </c>
      <c r="K38" s="8">
        <f t="shared" si="24"/>
        <v>9387969835.3400002</v>
      </c>
      <c r="L38" s="8">
        <f t="shared" si="24"/>
        <v>9387969835.3400002</v>
      </c>
      <c r="M38" s="8">
        <f t="shared" si="24"/>
        <v>9387969835.3400002</v>
      </c>
      <c r="N38" s="9">
        <f t="shared" si="10"/>
        <v>0.9693851921434099</v>
      </c>
      <c r="O38" s="10">
        <f t="shared" si="11"/>
        <v>0.94869224897210791</v>
      </c>
      <c r="P38" s="56">
        <f t="shared" si="12"/>
        <v>0</v>
      </c>
      <c r="Q38" s="56">
        <f t="shared" si="13"/>
        <v>204771069.34000015</v>
      </c>
      <c r="R38" s="56">
        <f t="shared" si="14"/>
        <v>0</v>
      </c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25">+D40</f>
        <v>12856600</v>
      </c>
      <c r="E39" s="18">
        <f t="shared" si="25"/>
        <v>14914600</v>
      </c>
      <c r="F39" s="19">
        <f t="shared" ref="F39:F64" si="26">+C39+D39-E39</f>
        <v>132942000</v>
      </c>
      <c r="G39" s="18">
        <f t="shared" ref="G39:H39" si="27">+G40</f>
        <v>0</v>
      </c>
      <c r="H39" s="18">
        <f t="shared" si="27"/>
        <v>109942235.62</v>
      </c>
      <c r="I39" s="19">
        <f t="shared" ref="I39:I64" si="28">+F39-G39-H39</f>
        <v>22999764.379999995</v>
      </c>
      <c r="J39" s="18">
        <f t="shared" ref="J39:M39" si="29">+J40</f>
        <v>109942235.62</v>
      </c>
      <c r="K39" s="18">
        <f t="shared" si="29"/>
        <v>109942235.62</v>
      </c>
      <c r="L39" s="18">
        <f t="shared" si="29"/>
        <v>109942235.62</v>
      </c>
      <c r="M39" s="18">
        <f t="shared" si="29"/>
        <v>109942235.62</v>
      </c>
      <c r="N39" s="20">
        <f t="shared" si="10"/>
        <v>0.82699399452392774</v>
      </c>
      <c r="O39" s="20">
        <f t="shared" si="11"/>
        <v>0.82699399452392774</v>
      </c>
      <c r="P39" s="56">
        <f t="shared" si="12"/>
        <v>0</v>
      </c>
      <c r="Q39" s="56">
        <f t="shared" si="13"/>
        <v>0</v>
      </c>
      <c r="R39" s="56">
        <f t="shared" si="14"/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30">SUM(D41:D42)</f>
        <v>12856600</v>
      </c>
      <c r="E40" s="18">
        <f t="shared" si="30"/>
        <v>14914600</v>
      </c>
      <c r="F40" s="19">
        <f t="shared" si="26"/>
        <v>132942000</v>
      </c>
      <c r="G40" s="18">
        <f t="shared" ref="G40:H40" si="31">SUM(G41:G42)</f>
        <v>0</v>
      </c>
      <c r="H40" s="18">
        <f t="shared" si="31"/>
        <v>109942235.62</v>
      </c>
      <c r="I40" s="19">
        <f t="shared" si="28"/>
        <v>22999764.379999995</v>
      </c>
      <c r="J40" s="18">
        <f t="shared" ref="J40:M40" si="32">SUM(J41:J42)</f>
        <v>109942235.62</v>
      </c>
      <c r="K40" s="18">
        <f t="shared" si="32"/>
        <v>109942235.62</v>
      </c>
      <c r="L40" s="18">
        <f t="shared" si="32"/>
        <v>109942235.62</v>
      </c>
      <c r="M40" s="18">
        <f t="shared" si="32"/>
        <v>109942235.62</v>
      </c>
      <c r="N40" s="20">
        <f t="shared" si="10"/>
        <v>0.82699399452392774</v>
      </c>
      <c r="O40" s="20">
        <f t="shared" si="11"/>
        <v>0.82699399452392774</v>
      </c>
      <c r="P40" s="56">
        <f t="shared" si="12"/>
        <v>0</v>
      </c>
      <c r="Q40" s="56">
        <f t="shared" si="13"/>
        <v>0</v>
      </c>
      <c r="R40" s="56">
        <f t="shared" si="14"/>
        <v>0</v>
      </c>
    </row>
    <row r="41" spans="1:22" x14ac:dyDescent="0.25">
      <c r="A41" s="11" t="s">
        <v>101</v>
      </c>
      <c r="B41" s="12" t="s">
        <v>103</v>
      </c>
      <c r="C41" s="13">
        <f>datos!Q29</f>
        <v>40000000</v>
      </c>
      <c r="D41" s="13">
        <f>datos!R29</f>
        <v>12856600</v>
      </c>
      <c r="E41" s="13">
        <f>datos!S29</f>
        <v>0</v>
      </c>
      <c r="F41" s="14">
        <f>datos!T29</f>
        <v>52856600</v>
      </c>
      <c r="G41" s="13">
        <f>datos!U29</f>
        <v>0</v>
      </c>
      <c r="H41" s="13">
        <f>datos!V29</f>
        <v>32638417.120000001</v>
      </c>
      <c r="I41" s="14">
        <f>datos!W29</f>
        <v>20218182.879999999</v>
      </c>
      <c r="J41" s="13">
        <f>datos!X29</f>
        <v>32638417.120000001</v>
      </c>
      <c r="K41" s="13">
        <f>datos!Y29</f>
        <v>32638417.120000001</v>
      </c>
      <c r="L41" s="13">
        <f>datos!Z29</f>
        <v>32638417.120000001</v>
      </c>
      <c r="M41" s="13">
        <f>datos!AA29</f>
        <v>32638417.120000001</v>
      </c>
      <c r="N41" s="15">
        <f t="shared" si="10"/>
        <v>0.61748990892338895</v>
      </c>
      <c r="O41" s="15">
        <f t="shared" si="11"/>
        <v>0.61748990892338895</v>
      </c>
      <c r="P41" s="56">
        <f t="shared" si="12"/>
        <v>0</v>
      </c>
      <c r="Q41" s="56">
        <f t="shared" si="13"/>
        <v>0</v>
      </c>
      <c r="R41" s="56">
        <f t="shared" si="14"/>
        <v>0</v>
      </c>
    </row>
    <row r="42" spans="1:22" x14ac:dyDescent="0.25">
      <c r="A42" s="11" t="s">
        <v>102</v>
      </c>
      <c r="B42" s="12" t="s">
        <v>104</v>
      </c>
      <c r="C42" s="13">
        <f>datos!Q30</f>
        <v>95000000</v>
      </c>
      <c r="D42" s="13">
        <f>datos!R30</f>
        <v>0</v>
      </c>
      <c r="E42" s="13">
        <f>datos!S30</f>
        <v>14914600</v>
      </c>
      <c r="F42" s="14">
        <f>datos!T30</f>
        <v>80085400</v>
      </c>
      <c r="G42" s="13">
        <f>datos!U30</f>
        <v>0</v>
      </c>
      <c r="H42" s="13">
        <f>datos!V30</f>
        <v>77303818.5</v>
      </c>
      <c r="I42" s="14">
        <f>datos!W30</f>
        <v>2781581.5</v>
      </c>
      <c r="J42" s="13">
        <f>datos!X30</f>
        <v>77303818.5</v>
      </c>
      <c r="K42" s="13">
        <f>datos!Y30</f>
        <v>77303818.5</v>
      </c>
      <c r="L42" s="13">
        <f>datos!Z30</f>
        <v>77303818.5</v>
      </c>
      <c r="M42" s="13">
        <f>datos!AA30</f>
        <v>77303818.5</v>
      </c>
      <c r="N42" s="15">
        <f t="shared" si="10"/>
        <v>0.96526730839828478</v>
      </c>
      <c r="O42" s="15">
        <f t="shared" si="11"/>
        <v>0.96526730839828478</v>
      </c>
      <c r="P42" s="56">
        <f t="shared" si="12"/>
        <v>0</v>
      </c>
      <c r="Q42" s="56">
        <f t="shared" si="13"/>
        <v>0</v>
      </c>
      <c r="R42" s="56">
        <f t="shared" si="14"/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33">+D44+D48</f>
        <v>1547000000</v>
      </c>
      <c r="E43" s="18">
        <f t="shared" si="33"/>
        <v>1547000000</v>
      </c>
      <c r="F43" s="19">
        <f t="shared" si="26"/>
        <v>9762753728</v>
      </c>
      <c r="G43" s="18">
        <f t="shared" ref="G43:H43" si="34">+G44+G48</f>
        <v>0</v>
      </c>
      <c r="H43" s="18">
        <f t="shared" si="34"/>
        <v>9482798669.0599995</v>
      </c>
      <c r="I43" s="19">
        <f t="shared" si="28"/>
        <v>279955058.94000053</v>
      </c>
      <c r="J43" s="18">
        <f t="shared" ref="J43:M43" si="35">+J44+J48</f>
        <v>9482798669.0599995</v>
      </c>
      <c r="K43" s="18">
        <f t="shared" si="35"/>
        <v>9278027599.7199993</v>
      </c>
      <c r="L43" s="18">
        <f t="shared" si="35"/>
        <v>9278027599.7199993</v>
      </c>
      <c r="M43" s="18">
        <f t="shared" si="35"/>
        <v>9278027599.7199993</v>
      </c>
      <c r="N43" s="20">
        <f t="shared" si="10"/>
        <v>0.97132417074732946</v>
      </c>
      <c r="O43" s="20">
        <f t="shared" si="11"/>
        <v>0.950349446295077</v>
      </c>
      <c r="P43" s="56">
        <f t="shared" si="12"/>
        <v>0</v>
      </c>
      <c r="Q43" s="56">
        <f t="shared" si="13"/>
        <v>204771069.34000015</v>
      </c>
      <c r="R43" s="56">
        <f t="shared" si="14"/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36">SUM(D45:D47)</f>
        <v>92000000</v>
      </c>
      <c r="E44" s="18">
        <f t="shared" si="36"/>
        <v>0</v>
      </c>
      <c r="F44" s="19">
        <f>+C44+D44-E44</f>
        <v>184000000</v>
      </c>
      <c r="G44" s="18">
        <f t="shared" si="36"/>
        <v>0</v>
      </c>
      <c r="H44" s="18">
        <f t="shared" si="36"/>
        <v>137026387.98000002</v>
      </c>
      <c r="I44" s="19">
        <f t="shared" si="28"/>
        <v>46973612.019999981</v>
      </c>
      <c r="J44" s="18">
        <f t="shared" ref="J44" si="37">SUM(J45:J47)</f>
        <v>137026387.98000002</v>
      </c>
      <c r="K44" s="18">
        <f t="shared" ref="K44:M44" si="38">SUM(K45:K47)</f>
        <v>136048554.98000002</v>
      </c>
      <c r="L44" s="18">
        <f t="shared" si="38"/>
        <v>136048554.98000002</v>
      </c>
      <c r="M44" s="18">
        <f t="shared" si="38"/>
        <v>136048554.98000002</v>
      </c>
      <c r="N44" s="20">
        <f t="shared" si="10"/>
        <v>0.74470863032608703</v>
      </c>
      <c r="O44" s="20">
        <f t="shared" si="11"/>
        <v>0.73939432054347831</v>
      </c>
      <c r="P44" s="56">
        <f t="shared" si="12"/>
        <v>0</v>
      </c>
      <c r="Q44" s="56">
        <f t="shared" si="13"/>
        <v>977833</v>
      </c>
      <c r="R44" s="56">
        <f t="shared" si="14"/>
        <v>0</v>
      </c>
    </row>
    <row r="45" spans="1:22" ht="22.5" x14ac:dyDescent="0.25">
      <c r="A45" s="11" t="s">
        <v>109</v>
      </c>
      <c r="B45" s="12" t="s">
        <v>111</v>
      </c>
      <c r="C45" s="13">
        <f>datos!Q31</f>
        <v>15000000</v>
      </c>
      <c r="D45" s="13">
        <f>datos!R31</f>
        <v>13000000</v>
      </c>
      <c r="E45" s="13">
        <f>datos!S31</f>
        <v>0</v>
      </c>
      <c r="F45" s="14">
        <f>datos!T31</f>
        <v>28000000</v>
      </c>
      <c r="G45" s="13">
        <f>datos!U31</f>
        <v>0</v>
      </c>
      <c r="H45" s="13">
        <f>datos!V31</f>
        <v>11748940</v>
      </c>
      <c r="I45" s="14">
        <f>datos!W31</f>
        <v>16251060</v>
      </c>
      <c r="J45" s="13">
        <f>datos!X31</f>
        <v>11748940</v>
      </c>
      <c r="K45" s="13">
        <f>datos!Y31</f>
        <v>11748940</v>
      </c>
      <c r="L45" s="13">
        <f>datos!Z31</f>
        <v>11748940</v>
      </c>
      <c r="M45" s="13">
        <f>datos!AA31</f>
        <v>11748940</v>
      </c>
      <c r="N45" s="15">
        <f t="shared" si="10"/>
        <v>0.41960500000000001</v>
      </c>
      <c r="O45" s="15">
        <f t="shared" si="11"/>
        <v>0.41960500000000001</v>
      </c>
      <c r="P45" s="56">
        <f t="shared" si="12"/>
        <v>0</v>
      </c>
      <c r="Q45" s="56">
        <f t="shared" si="13"/>
        <v>0</v>
      </c>
      <c r="R45" s="56">
        <f t="shared" si="14"/>
        <v>0</v>
      </c>
    </row>
    <row r="46" spans="1:22" ht="22.5" x14ac:dyDescent="0.25">
      <c r="A46" s="11" t="s">
        <v>110</v>
      </c>
      <c r="B46" s="12" t="s">
        <v>112</v>
      </c>
      <c r="C46" s="13">
        <f>datos!Q32</f>
        <v>45000000</v>
      </c>
      <c r="D46" s="13">
        <f>datos!R32</f>
        <v>22000000</v>
      </c>
      <c r="E46" s="13">
        <f>datos!S32</f>
        <v>0</v>
      </c>
      <c r="F46" s="14">
        <f>datos!T32</f>
        <v>67000000</v>
      </c>
      <c r="G46" s="13">
        <f>datos!U32</f>
        <v>0</v>
      </c>
      <c r="H46" s="13">
        <f>datos!V32</f>
        <v>54777547</v>
      </c>
      <c r="I46" s="14">
        <f>datos!W32</f>
        <v>12222453</v>
      </c>
      <c r="J46" s="13">
        <f>datos!X32</f>
        <v>54777547</v>
      </c>
      <c r="K46" s="13">
        <f>datos!Y32</f>
        <v>53799714</v>
      </c>
      <c r="L46" s="13">
        <f>datos!Z32</f>
        <v>53799714</v>
      </c>
      <c r="M46" s="13">
        <f>datos!AA32</f>
        <v>53799714</v>
      </c>
      <c r="N46" s="15">
        <f t="shared" si="10"/>
        <v>0.81757532835820901</v>
      </c>
      <c r="O46" s="15">
        <f t="shared" si="11"/>
        <v>0.8029808059701492</v>
      </c>
      <c r="P46" s="56">
        <f t="shared" si="12"/>
        <v>0</v>
      </c>
      <c r="Q46" s="56">
        <f t="shared" si="13"/>
        <v>977833</v>
      </c>
      <c r="R46" s="56">
        <f t="shared" si="14"/>
        <v>0</v>
      </c>
    </row>
    <row r="47" spans="1:22" x14ac:dyDescent="0.25">
      <c r="A47" s="11" t="s">
        <v>113</v>
      </c>
      <c r="B47" s="12" t="s">
        <v>114</v>
      </c>
      <c r="C47" s="13">
        <f>datos!Q33</f>
        <v>32000000</v>
      </c>
      <c r="D47" s="13">
        <f>datos!R33</f>
        <v>57000000</v>
      </c>
      <c r="E47" s="13">
        <f>datos!S33</f>
        <v>0</v>
      </c>
      <c r="F47" s="14">
        <f>datos!T33</f>
        <v>89000000</v>
      </c>
      <c r="G47" s="13">
        <f>datos!U33</f>
        <v>0</v>
      </c>
      <c r="H47" s="13">
        <f>datos!V33</f>
        <v>70499900.980000004</v>
      </c>
      <c r="I47" s="14">
        <f>datos!W33</f>
        <v>18500099.02</v>
      </c>
      <c r="J47" s="13">
        <f>datos!X33</f>
        <v>70499900.980000004</v>
      </c>
      <c r="K47" s="13">
        <f>datos!Y33</f>
        <v>70499900.980000004</v>
      </c>
      <c r="L47" s="13">
        <f>datos!Z33</f>
        <v>70499900.980000004</v>
      </c>
      <c r="M47" s="13">
        <f>datos!AA33</f>
        <v>70499900.980000004</v>
      </c>
      <c r="N47" s="15">
        <f t="shared" si="10"/>
        <v>0.79213371887640449</v>
      </c>
      <c r="O47" s="15">
        <f t="shared" si="11"/>
        <v>0.79213371887640449</v>
      </c>
      <c r="P47" s="56">
        <f t="shared" si="12"/>
        <v>0</v>
      </c>
      <c r="Q47" s="56">
        <f t="shared" si="13"/>
        <v>0</v>
      </c>
      <c r="R47" s="56">
        <f t="shared" si="14"/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9">SUM(D49:D53)</f>
        <v>1455000000</v>
      </c>
      <c r="E48" s="18">
        <f t="shared" si="39"/>
        <v>1547000000</v>
      </c>
      <c r="F48" s="19">
        <f t="shared" si="26"/>
        <v>9578753728</v>
      </c>
      <c r="G48" s="18">
        <f t="shared" ref="G48:H48" si="40">SUM(G49:G53)</f>
        <v>0</v>
      </c>
      <c r="H48" s="18">
        <f t="shared" si="40"/>
        <v>9345772281.0799999</v>
      </c>
      <c r="I48" s="19">
        <f t="shared" si="28"/>
        <v>232981446.92000008</v>
      </c>
      <c r="J48" s="18">
        <f t="shared" ref="J48:M48" si="41">SUM(J49:J53)</f>
        <v>9345772281.0799999</v>
      </c>
      <c r="K48" s="18">
        <f t="shared" si="41"/>
        <v>9141979044.7399998</v>
      </c>
      <c r="L48" s="18">
        <f t="shared" si="41"/>
        <v>9141979044.7399998</v>
      </c>
      <c r="M48" s="18">
        <f t="shared" si="41"/>
        <v>9141979044.7399998</v>
      </c>
      <c r="N48" s="20">
        <f t="shared" si="10"/>
        <v>0.97567726934674559</v>
      </c>
      <c r="O48" s="20">
        <f t="shared" si="11"/>
        <v>0.95440172117764666</v>
      </c>
      <c r="P48" s="56">
        <f t="shared" si="12"/>
        <v>0</v>
      </c>
      <c r="Q48" s="56">
        <f t="shared" si="13"/>
        <v>203793236.34000015</v>
      </c>
      <c r="R48" s="56">
        <f t="shared" si="14"/>
        <v>0</v>
      </c>
    </row>
    <row r="49" spans="1:22" ht="45" x14ac:dyDescent="0.25">
      <c r="A49" s="11" t="s">
        <v>117</v>
      </c>
      <c r="B49" s="12" t="s">
        <v>122</v>
      </c>
      <c r="C49" s="13">
        <f>datos!Q34</f>
        <v>1188000000</v>
      </c>
      <c r="D49" s="13">
        <f>datos!R34</f>
        <v>15000000</v>
      </c>
      <c r="E49" s="13">
        <f>datos!S34</f>
        <v>210000000</v>
      </c>
      <c r="F49" s="14">
        <f>datos!T34</f>
        <v>993000000</v>
      </c>
      <c r="G49" s="13">
        <f>datos!U34</f>
        <v>0</v>
      </c>
      <c r="H49" s="13">
        <f>datos!V34</f>
        <v>892414497</v>
      </c>
      <c r="I49" s="14">
        <f>datos!W34</f>
        <v>100585503</v>
      </c>
      <c r="J49" s="27">
        <f>datos!X34</f>
        <v>892414497</v>
      </c>
      <c r="K49" s="27">
        <f>datos!Y34</f>
        <v>890915397</v>
      </c>
      <c r="L49" s="27">
        <f>datos!Z34</f>
        <v>890915397</v>
      </c>
      <c r="M49" s="27">
        <f>datos!AA34</f>
        <v>890915397</v>
      </c>
      <c r="N49" s="15">
        <f t="shared" si="10"/>
        <v>0.89870543504531719</v>
      </c>
      <c r="O49" s="15">
        <f t="shared" si="11"/>
        <v>0.89719576737160123</v>
      </c>
      <c r="P49" s="56">
        <f t="shared" si="12"/>
        <v>0</v>
      </c>
      <c r="Q49" s="56">
        <f t="shared" si="13"/>
        <v>1499100</v>
      </c>
      <c r="R49" s="56">
        <f t="shared" si="14"/>
        <v>0</v>
      </c>
    </row>
    <row r="50" spans="1:22" ht="22.5" x14ac:dyDescent="0.25">
      <c r="A50" s="11" t="s">
        <v>118</v>
      </c>
      <c r="B50" s="12" t="s">
        <v>123</v>
      </c>
      <c r="C50" s="13">
        <f>datos!Q35</f>
        <v>6025950512</v>
      </c>
      <c r="D50" s="13">
        <f>datos!R35</f>
        <v>0</v>
      </c>
      <c r="E50" s="13">
        <f>datos!S35</f>
        <v>1070000000</v>
      </c>
      <c r="F50" s="14">
        <f>datos!T35</f>
        <v>4955950512</v>
      </c>
      <c r="G50" s="13">
        <f>datos!U35</f>
        <v>0</v>
      </c>
      <c r="H50" s="13">
        <f>datos!V35</f>
        <v>4933577754</v>
      </c>
      <c r="I50" s="14">
        <f>datos!W35</f>
        <v>22372758</v>
      </c>
      <c r="J50" s="27">
        <f>datos!X35</f>
        <v>4933577754</v>
      </c>
      <c r="K50" s="27">
        <f>datos!Y35</f>
        <v>4922113512</v>
      </c>
      <c r="L50" s="27">
        <f>datos!Z35</f>
        <v>4922113512</v>
      </c>
      <c r="M50" s="27">
        <f>datos!AA35</f>
        <v>4922113512</v>
      </c>
      <c r="N50" s="15">
        <f t="shared" si="10"/>
        <v>0.99548567768265073</v>
      </c>
      <c r="O50" s="15">
        <f t="shared" si="11"/>
        <v>0.99317244998349574</v>
      </c>
      <c r="P50" s="56">
        <f t="shared" si="12"/>
        <v>0</v>
      </c>
      <c r="Q50" s="56">
        <f t="shared" si="13"/>
        <v>11464242</v>
      </c>
      <c r="R50" s="56">
        <f t="shared" si="14"/>
        <v>0</v>
      </c>
    </row>
    <row r="51" spans="1:22" ht="22.5" x14ac:dyDescent="0.25">
      <c r="A51" s="11" t="s">
        <v>119</v>
      </c>
      <c r="B51" s="12" t="s">
        <v>124</v>
      </c>
      <c r="C51" s="13">
        <f>datos!Q36</f>
        <v>1424556980</v>
      </c>
      <c r="D51" s="13">
        <f>datos!R36</f>
        <v>863000000</v>
      </c>
      <c r="E51" s="13">
        <f>datos!S36</f>
        <v>267000000</v>
      </c>
      <c r="F51" s="14">
        <f>datos!T36</f>
        <v>2020556980</v>
      </c>
      <c r="G51" s="13">
        <f>datos!U36</f>
        <v>0</v>
      </c>
      <c r="H51" s="13">
        <f>datos!V36</f>
        <v>1980121697.0799999</v>
      </c>
      <c r="I51" s="14">
        <f>datos!W36</f>
        <v>40435282.920000002</v>
      </c>
      <c r="J51" s="27">
        <f>datos!X36</f>
        <v>1980121697.0799999</v>
      </c>
      <c r="K51" s="27">
        <f>datos!Y36</f>
        <v>1946053122.74</v>
      </c>
      <c r="L51" s="27">
        <f>datos!Z36</f>
        <v>1946053122.74</v>
      </c>
      <c r="M51" s="27">
        <f>datos!AA36</f>
        <v>1946053122.74</v>
      </c>
      <c r="N51" s="15">
        <f t="shared" si="10"/>
        <v>0.97998805115607279</v>
      </c>
      <c r="O51" s="15">
        <f t="shared" si="11"/>
        <v>0.96312706941825521</v>
      </c>
      <c r="P51" s="56">
        <f t="shared" si="12"/>
        <v>0</v>
      </c>
      <c r="Q51" s="56">
        <f t="shared" si="13"/>
        <v>34068574.339999914</v>
      </c>
      <c r="R51" s="56">
        <f t="shared" si="14"/>
        <v>0</v>
      </c>
    </row>
    <row r="52" spans="1:22" ht="22.5" x14ac:dyDescent="0.25">
      <c r="A52" s="11" t="s">
        <v>120</v>
      </c>
      <c r="B52" s="12" t="s">
        <v>125</v>
      </c>
      <c r="C52" s="13">
        <f>datos!Q37</f>
        <v>732246236</v>
      </c>
      <c r="D52" s="13">
        <f>datos!R37</f>
        <v>547000000</v>
      </c>
      <c r="E52" s="13">
        <f>datos!S37</f>
        <v>0</v>
      </c>
      <c r="F52" s="14">
        <f>datos!T37</f>
        <v>1279246236</v>
      </c>
      <c r="G52" s="13">
        <f>datos!U37</f>
        <v>0</v>
      </c>
      <c r="H52" s="13">
        <f>datos!V37</f>
        <v>1240231614</v>
      </c>
      <c r="I52" s="14">
        <f>datos!W37</f>
        <v>39014622</v>
      </c>
      <c r="J52" s="27">
        <f>datos!X37</f>
        <v>1240231614</v>
      </c>
      <c r="K52" s="27">
        <f>datos!Y37</f>
        <v>1083470294</v>
      </c>
      <c r="L52" s="27">
        <f>datos!Z37</f>
        <v>1083470294</v>
      </c>
      <c r="M52" s="27">
        <f>datos!AA37</f>
        <v>1083470294</v>
      </c>
      <c r="N52" s="15">
        <f t="shared" si="10"/>
        <v>0.96950186687905171</v>
      </c>
      <c r="O52" s="15">
        <f t="shared" si="11"/>
        <v>0.84695992335911785</v>
      </c>
      <c r="P52" s="56">
        <f t="shared" si="12"/>
        <v>0</v>
      </c>
      <c r="Q52" s="56">
        <f t="shared" si="13"/>
        <v>156761320</v>
      </c>
      <c r="R52" s="56">
        <f t="shared" si="14"/>
        <v>0</v>
      </c>
    </row>
    <row r="53" spans="1:22" x14ac:dyDescent="0.25">
      <c r="A53" s="11" t="s">
        <v>121</v>
      </c>
      <c r="B53" s="12" t="s">
        <v>126</v>
      </c>
      <c r="C53" s="13">
        <f>datos!Q38</f>
        <v>300000000</v>
      </c>
      <c r="D53" s="13">
        <f>datos!R38</f>
        <v>30000000</v>
      </c>
      <c r="E53" s="13">
        <f>datos!S38</f>
        <v>0</v>
      </c>
      <c r="F53" s="14">
        <f>datos!T38</f>
        <v>330000000</v>
      </c>
      <c r="G53" s="13">
        <f>datos!U38</f>
        <v>0</v>
      </c>
      <c r="H53" s="13">
        <f>datos!V38</f>
        <v>299426719</v>
      </c>
      <c r="I53" s="14">
        <f>datos!W38</f>
        <v>30573281</v>
      </c>
      <c r="J53" s="27">
        <f>datos!X38</f>
        <v>299426719</v>
      </c>
      <c r="K53" s="27">
        <f>datos!Y38</f>
        <v>299426719</v>
      </c>
      <c r="L53" s="27">
        <f>datos!Z38</f>
        <v>299426719</v>
      </c>
      <c r="M53" s="27">
        <f>datos!AA38</f>
        <v>299426719</v>
      </c>
      <c r="N53" s="15">
        <f t="shared" si="10"/>
        <v>0.90735369393939391</v>
      </c>
      <c r="O53" s="15">
        <f t="shared" si="11"/>
        <v>0.90735369393939391</v>
      </c>
      <c r="P53" s="56">
        <f t="shared" si="12"/>
        <v>0</v>
      </c>
      <c r="Q53" s="56">
        <f t="shared" si="13"/>
        <v>0</v>
      </c>
      <c r="R53" s="56">
        <f t="shared" si="14"/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42">SUM(E55:E58)</f>
        <v>2550419340</v>
      </c>
      <c r="F54" s="8">
        <f>SUM(F55:F58)</f>
        <v>1214320000.00001</v>
      </c>
      <c r="G54" s="8">
        <f t="shared" ref="G54:M54" si="43">SUM(G55:G58)</f>
        <v>0</v>
      </c>
      <c r="H54" s="8">
        <f t="shared" si="43"/>
        <v>92403202</v>
      </c>
      <c r="I54" s="8">
        <f t="shared" si="43"/>
        <v>1121916798.00001</v>
      </c>
      <c r="J54" s="8">
        <f t="shared" si="43"/>
        <v>92403202</v>
      </c>
      <c r="K54" s="8">
        <f t="shared" si="43"/>
        <v>82536902</v>
      </c>
      <c r="L54" s="8">
        <f t="shared" si="43"/>
        <v>82536902</v>
      </c>
      <c r="M54" s="8">
        <f t="shared" si="43"/>
        <v>82536902</v>
      </c>
      <c r="N54" s="9">
        <f t="shared" si="10"/>
        <v>7.6094606034652512E-2</v>
      </c>
      <c r="O54" s="10">
        <f t="shared" si="11"/>
        <v>6.7969647209960571E-2</v>
      </c>
      <c r="P54" s="56">
        <f t="shared" si="12"/>
        <v>0</v>
      </c>
      <c r="Q54" s="56">
        <f t="shared" si="13"/>
        <v>9866300</v>
      </c>
      <c r="R54" s="56">
        <f t="shared" si="14"/>
        <v>0</v>
      </c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51">
        <v>2435000000</v>
      </c>
      <c r="D55" s="51">
        <v>0</v>
      </c>
      <c r="E55" s="51">
        <v>2435000000</v>
      </c>
      <c r="F55" s="52">
        <f>+C55+D55-E55+0.00001</f>
        <v>1.0000000000000001E-5</v>
      </c>
      <c r="G55" s="51">
        <v>0</v>
      </c>
      <c r="H55" s="51">
        <v>0</v>
      </c>
      <c r="I55" s="52">
        <f t="shared" ref="I55:I58" si="44">+F55-G55-H55</f>
        <v>1.0000000000000001E-5</v>
      </c>
      <c r="J55" s="51">
        <v>0</v>
      </c>
      <c r="K55" s="51">
        <v>0</v>
      </c>
      <c r="L55" s="51">
        <v>0</v>
      </c>
      <c r="M55" s="51">
        <v>0</v>
      </c>
      <c r="N55" s="53">
        <f t="shared" si="10"/>
        <v>0</v>
      </c>
      <c r="O55" s="53">
        <f t="shared" si="11"/>
        <v>0</v>
      </c>
      <c r="P55" s="56">
        <f t="shared" si="12"/>
        <v>0</v>
      </c>
      <c r="Q55" s="56">
        <f t="shared" si="13"/>
        <v>0</v>
      </c>
      <c r="R55" s="56">
        <f t="shared" si="14"/>
        <v>0</v>
      </c>
    </row>
    <row r="56" spans="1:22" x14ac:dyDescent="0.25">
      <c r="A56" s="11" t="s">
        <v>146</v>
      </c>
      <c r="B56" s="12" t="s">
        <v>148</v>
      </c>
      <c r="C56" s="13">
        <f>datos!Q39</f>
        <v>99860000</v>
      </c>
      <c r="D56" s="13">
        <f>datos!R39</f>
        <v>95419340</v>
      </c>
      <c r="E56" s="13">
        <f>datos!S39</f>
        <v>115419340</v>
      </c>
      <c r="F56" s="14">
        <f>datos!T39</f>
        <v>79860000</v>
      </c>
      <c r="G56" s="13">
        <f>datos!U39</f>
        <v>0</v>
      </c>
      <c r="H56" s="13">
        <f>datos!V39</f>
        <v>69591740</v>
      </c>
      <c r="I56" s="14">
        <f>datos!W39</f>
        <v>10268260</v>
      </c>
      <c r="J56" s="13">
        <f>datos!X39</f>
        <v>69591740</v>
      </c>
      <c r="K56" s="13">
        <f>datos!Y39</f>
        <v>69591740</v>
      </c>
      <c r="L56" s="13">
        <f>datos!Z39</f>
        <v>69591740</v>
      </c>
      <c r="M56" s="13">
        <f>datos!AA39</f>
        <v>69591740</v>
      </c>
      <c r="N56" s="15">
        <f t="shared" si="10"/>
        <v>0.87142173804157275</v>
      </c>
      <c r="O56" s="15">
        <f t="shared" si="11"/>
        <v>0.87142173804157275</v>
      </c>
      <c r="P56" s="56">
        <f t="shared" si="12"/>
        <v>0</v>
      </c>
      <c r="Q56" s="56">
        <f t="shared" si="13"/>
        <v>0</v>
      </c>
      <c r="R56" s="56">
        <f t="shared" si="14"/>
        <v>0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f>datos!S40</f>
        <v>0</v>
      </c>
      <c r="F57" s="14">
        <f>datos!T40</f>
        <v>20000000</v>
      </c>
      <c r="G57" s="13">
        <f>datos!U40</f>
        <v>0</v>
      </c>
      <c r="H57" s="13">
        <f>datos!V40</f>
        <v>12945162</v>
      </c>
      <c r="I57" s="14">
        <f>datos!W40</f>
        <v>7054838</v>
      </c>
      <c r="J57" s="13">
        <f>datos!X40</f>
        <v>12945162</v>
      </c>
      <c r="K57" s="13">
        <f>datos!Y40</f>
        <v>12945162</v>
      </c>
      <c r="L57" s="13">
        <f>datos!Z40</f>
        <v>12945162</v>
      </c>
      <c r="M57" s="13">
        <f>datos!AA40</f>
        <v>12945162</v>
      </c>
      <c r="N57" s="15">
        <f t="shared" si="10"/>
        <v>0.64725809999999995</v>
      </c>
      <c r="O57" s="15">
        <f t="shared" si="11"/>
        <v>0.64725809999999995</v>
      </c>
      <c r="P57" s="56">
        <f t="shared" si="12"/>
        <v>0</v>
      </c>
      <c r="Q57" s="56">
        <f t="shared" si="13"/>
        <v>0</v>
      </c>
      <c r="R57" s="56">
        <f t="shared" si="14"/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ref="F58" si="45">+C58+D58-E58</f>
        <v>1114460000</v>
      </c>
      <c r="G58" s="13">
        <v>0</v>
      </c>
      <c r="H58" s="13">
        <v>9866300</v>
      </c>
      <c r="I58" s="14">
        <f t="shared" si="44"/>
        <v>1104593700</v>
      </c>
      <c r="J58" s="13">
        <v>9866300</v>
      </c>
      <c r="K58" s="13">
        <v>0</v>
      </c>
      <c r="L58" s="13">
        <v>0</v>
      </c>
      <c r="M58" s="13">
        <v>0</v>
      </c>
      <c r="N58" s="15">
        <f t="shared" si="10"/>
        <v>8.8529870968899731E-3</v>
      </c>
      <c r="O58" s="15">
        <f t="shared" si="11"/>
        <v>0</v>
      </c>
      <c r="P58" s="56">
        <f t="shared" si="12"/>
        <v>0</v>
      </c>
      <c r="Q58" s="56">
        <f t="shared" si="13"/>
        <v>9866300</v>
      </c>
      <c r="R58" s="56">
        <f t="shared" si="14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46">+D60+D64</f>
        <v>2078000</v>
      </c>
      <c r="E59" s="8">
        <f t="shared" si="46"/>
        <v>20000</v>
      </c>
      <c r="F59" s="8">
        <f t="shared" si="46"/>
        <v>67758000</v>
      </c>
      <c r="G59" s="8">
        <f t="shared" si="46"/>
        <v>0</v>
      </c>
      <c r="H59" s="8">
        <f t="shared" si="46"/>
        <v>62678800</v>
      </c>
      <c r="I59" s="8">
        <f t="shared" si="46"/>
        <v>5079200</v>
      </c>
      <c r="J59" s="8">
        <f t="shared" si="46"/>
        <v>62678800</v>
      </c>
      <c r="K59" s="8">
        <f t="shared" si="46"/>
        <v>62678800</v>
      </c>
      <c r="L59" s="8">
        <f t="shared" si="46"/>
        <v>62678800</v>
      </c>
      <c r="M59" s="8">
        <f t="shared" si="46"/>
        <v>62678800</v>
      </c>
      <c r="N59" s="9">
        <f t="shared" si="10"/>
        <v>0.92503910977301573</v>
      </c>
      <c r="O59" s="10">
        <f t="shared" si="11"/>
        <v>0.92503910977301573</v>
      </c>
      <c r="P59" s="56">
        <f t="shared" si="12"/>
        <v>0</v>
      </c>
      <c r="Q59" s="56">
        <f t="shared" si="13"/>
        <v>0</v>
      </c>
      <c r="R59" s="56">
        <f t="shared" si="14"/>
        <v>0</v>
      </c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47">+D61</f>
        <v>2078000</v>
      </c>
      <c r="E60" s="18">
        <f t="shared" si="47"/>
        <v>20000</v>
      </c>
      <c r="F60" s="19">
        <f t="shared" ref="F60:F61" si="48">+C60+D60-E60</f>
        <v>12758000</v>
      </c>
      <c r="G60" s="18">
        <f t="shared" ref="G60:H60" si="49">+G61</f>
        <v>0</v>
      </c>
      <c r="H60" s="18">
        <f t="shared" si="49"/>
        <v>12758000</v>
      </c>
      <c r="I60" s="19">
        <f t="shared" ref="I60:I61" si="50">+F60-G60-H60</f>
        <v>0</v>
      </c>
      <c r="J60" s="18">
        <f t="shared" ref="J60:M60" si="51">+J61</f>
        <v>12758000</v>
      </c>
      <c r="K60" s="18">
        <f t="shared" si="51"/>
        <v>12758000</v>
      </c>
      <c r="L60" s="18">
        <f t="shared" si="51"/>
        <v>12758000</v>
      </c>
      <c r="M60" s="18">
        <f t="shared" si="51"/>
        <v>12758000</v>
      </c>
      <c r="N60" s="20">
        <f t="shared" si="10"/>
        <v>1</v>
      </c>
      <c r="O60" s="20">
        <f t="shared" si="11"/>
        <v>1</v>
      </c>
      <c r="P60" s="56">
        <f t="shared" si="12"/>
        <v>0</v>
      </c>
      <c r="Q60" s="56">
        <f t="shared" si="13"/>
        <v>0</v>
      </c>
      <c r="R60" s="56">
        <f t="shared" si="14"/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52">SUM(D62:D63)</f>
        <v>2078000</v>
      </c>
      <c r="E61" s="18">
        <f t="shared" si="52"/>
        <v>20000</v>
      </c>
      <c r="F61" s="19">
        <f t="shared" si="48"/>
        <v>12758000</v>
      </c>
      <c r="G61" s="18">
        <f t="shared" ref="G61:H61" si="53">SUM(G62:G63)</f>
        <v>0</v>
      </c>
      <c r="H61" s="18">
        <f t="shared" si="53"/>
        <v>12758000</v>
      </c>
      <c r="I61" s="19">
        <f t="shared" si="50"/>
        <v>0</v>
      </c>
      <c r="J61" s="18">
        <f t="shared" ref="J61:M61" si="54">SUM(J62:J63)</f>
        <v>12758000</v>
      </c>
      <c r="K61" s="18">
        <f t="shared" si="54"/>
        <v>12758000</v>
      </c>
      <c r="L61" s="18">
        <f t="shared" si="54"/>
        <v>12758000</v>
      </c>
      <c r="M61" s="18">
        <f t="shared" si="54"/>
        <v>12758000</v>
      </c>
      <c r="N61" s="20">
        <f t="shared" si="10"/>
        <v>1</v>
      </c>
      <c r="O61" s="20">
        <f t="shared" si="11"/>
        <v>1</v>
      </c>
      <c r="P61" s="56">
        <f t="shared" si="12"/>
        <v>0</v>
      </c>
      <c r="Q61" s="56">
        <f t="shared" si="13"/>
        <v>0</v>
      </c>
      <c r="R61" s="56">
        <f t="shared" si="14"/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10"/>
        <v>1</v>
      </c>
      <c r="O62" s="15">
        <f t="shared" si="11"/>
        <v>1</v>
      </c>
      <c r="P62" s="56">
        <f t="shared" si="12"/>
        <v>0</v>
      </c>
      <c r="Q62" s="56">
        <f t="shared" si="13"/>
        <v>0</v>
      </c>
      <c r="R62" s="56">
        <f t="shared" si="14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10"/>
        <v>1</v>
      </c>
      <c r="O63" s="15">
        <f t="shared" si="11"/>
        <v>1</v>
      </c>
      <c r="P63" s="56">
        <f t="shared" si="12"/>
        <v>0</v>
      </c>
      <c r="Q63" s="56">
        <f t="shared" si="13"/>
        <v>0</v>
      </c>
      <c r="R63" s="56">
        <f t="shared" si="14"/>
        <v>0</v>
      </c>
    </row>
    <row r="64" spans="1:22" x14ac:dyDescent="0.25">
      <c r="A64" s="16" t="s">
        <v>141</v>
      </c>
      <c r="B64" s="23" t="s">
        <v>142</v>
      </c>
      <c r="C64" s="54">
        <v>55000000</v>
      </c>
      <c r="D64" s="54">
        <v>0</v>
      </c>
      <c r="E64" s="54">
        <v>0</v>
      </c>
      <c r="F64" s="55">
        <f t="shared" si="26"/>
        <v>55000000</v>
      </c>
      <c r="G64" s="18">
        <v>0</v>
      </c>
      <c r="H64" s="18">
        <v>49920800</v>
      </c>
      <c r="I64" s="19">
        <f t="shared" si="28"/>
        <v>5079200</v>
      </c>
      <c r="J64" s="18">
        <v>49920800</v>
      </c>
      <c r="K64" s="18">
        <v>49920800</v>
      </c>
      <c r="L64" s="18">
        <v>49920800</v>
      </c>
      <c r="M64" s="18">
        <v>49920800</v>
      </c>
      <c r="N64" s="20">
        <f t="shared" si="10"/>
        <v>0.90765090909090906</v>
      </c>
      <c r="O64" s="20">
        <f t="shared" si="11"/>
        <v>0.90765090909090906</v>
      </c>
      <c r="P64" s="56">
        <f t="shared" si="12"/>
        <v>0</v>
      </c>
      <c r="Q64" s="56">
        <f t="shared" si="13"/>
        <v>0</v>
      </c>
      <c r="R64" s="56">
        <f t="shared" si="14"/>
        <v>0</v>
      </c>
    </row>
    <row r="65" spans="1:18" x14ac:dyDescent="0.25">
      <c r="A65" s="68" t="s">
        <v>24</v>
      </c>
      <c r="B65" s="68"/>
      <c r="C65" s="8">
        <f>+C66+C68+C72+C75+C80+C83</f>
        <v>7000000000</v>
      </c>
      <c r="D65" s="8">
        <f t="shared" ref="D65:M65" si="55">+D66+D68+D72+D75+D80+D83</f>
        <v>0</v>
      </c>
      <c r="E65" s="8">
        <f t="shared" si="55"/>
        <v>180000000</v>
      </c>
      <c r="F65" s="8">
        <f t="shared" si="55"/>
        <v>6820000000</v>
      </c>
      <c r="G65" s="8">
        <f t="shared" si="55"/>
        <v>0</v>
      </c>
      <c r="H65" s="8">
        <f t="shared" si="55"/>
        <v>6099743891.7799997</v>
      </c>
      <c r="I65" s="8">
        <f t="shared" si="55"/>
        <v>73172761.219999999</v>
      </c>
      <c r="J65" s="8">
        <f t="shared" si="55"/>
        <v>6099743891.7799997</v>
      </c>
      <c r="K65" s="8">
        <f t="shared" si="55"/>
        <v>5888443892.7799997</v>
      </c>
      <c r="L65" s="8">
        <f t="shared" si="55"/>
        <v>5799752188.5100002</v>
      </c>
      <c r="M65" s="8">
        <f t="shared" si="55"/>
        <v>5799752188.5100002</v>
      </c>
      <c r="N65" s="9">
        <f t="shared" si="10"/>
        <v>0.89439059996774195</v>
      </c>
      <c r="O65" s="10">
        <f t="shared" si="11"/>
        <v>0.86340819542228731</v>
      </c>
      <c r="P65" s="56">
        <f t="shared" si="12"/>
        <v>0</v>
      </c>
      <c r="Q65" s="56">
        <f t="shared" si="13"/>
        <v>211299999</v>
      </c>
      <c r="R65" s="56">
        <f t="shared" si="14"/>
        <v>88691704.269999504</v>
      </c>
    </row>
    <row r="66" spans="1:18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56">+D67</f>
        <v>0</v>
      </c>
      <c r="E66" s="18">
        <f t="shared" si="56"/>
        <v>0</v>
      </c>
      <c r="F66" s="18">
        <f t="shared" si="56"/>
        <v>200000000</v>
      </c>
      <c r="G66" s="18">
        <f t="shared" si="56"/>
        <v>0</v>
      </c>
      <c r="H66" s="18">
        <f t="shared" si="56"/>
        <v>200000000</v>
      </c>
      <c r="I66" s="18">
        <f t="shared" si="56"/>
        <v>0</v>
      </c>
      <c r="J66" s="18">
        <f t="shared" si="56"/>
        <v>200000000</v>
      </c>
      <c r="K66" s="18">
        <f t="shared" si="56"/>
        <v>200000000</v>
      </c>
      <c r="L66" s="18">
        <f t="shared" si="56"/>
        <v>200000000</v>
      </c>
      <c r="M66" s="18">
        <f t="shared" si="56"/>
        <v>200000000</v>
      </c>
      <c r="N66" s="20">
        <f t="shared" si="10"/>
        <v>1</v>
      </c>
      <c r="O66" s="20">
        <f t="shared" si="11"/>
        <v>1</v>
      </c>
      <c r="P66" s="56">
        <f t="shared" si="12"/>
        <v>0</v>
      </c>
      <c r="Q66" s="56">
        <f t="shared" si="13"/>
        <v>0</v>
      </c>
      <c r="R66" s="56">
        <f t="shared" si="14"/>
        <v>0</v>
      </c>
    </row>
    <row r="67" spans="1:18" ht="22.5" x14ac:dyDescent="0.25">
      <c r="A67" s="33" t="s">
        <v>158</v>
      </c>
      <c r="B67" s="12" t="s">
        <v>159</v>
      </c>
      <c r="C67" s="13">
        <f>datos!Q43</f>
        <v>200000000</v>
      </c>
      <c r="D67" s="13">
        <f>datos!R43</f>
        <v>0</v>
      </c>
      <c r="E67" s="13">
        <f>datos!S43</f>
        <v>0</v>
      </c>
      <c r="F67" s="14">
        <f>datos!T43</f>
        <v>200000000</v>
      </c>
      <c r="G67" s="13">
        <f>datos!U43</f>
        <v>0</v>
      </c>
      <c r="H67" s="13">
        <f>datos!V43</f>
        <v>200000000</v>
      </c>
      <c r="I67" s="14">
        <f>datos!W43</f>
        <v>0</v>
      </c>
      <c r="J67" s="13">
        <f>datos!X43</f>
        <v>200000000</v>
      </c>
      <c r="K67" s="13">
        <f>datos!Y43</f>
        <v>200000000</v>
      </c>
      <c r="L67" s="13">
        <f>datos!Z43</f>
        <v>200000000</v>
      </c>
      <c r="M67" s="13">
        <f>datos!AA43</f>
        <v>200000000</v>
      </c>
      <c r="N67" s="15">
        <f t="shared" si="10"/>
        <v>1</v>
      </c>
      <c r="O67" s="15">
        <f t="shared" si="11"/>
        <v>1</v>
      </c>
      <c r="P67" s="56">
        <f t="shared" si="12"/>
        <v>0</v>
      </c>
      <c r="Q67" s="56">
        <f t="shared" si="13"/>
        <v>0</v>
      </c>
      <c r="R67" s="56">
        <f t="shared" si="14"/>
        <v>0</v>
      </c>
    </row>
    <row r="68" spans="1:18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7">SUM(D69:D71)</f>
        <v>0</v>
      </c>
      <c r="E68" s="18">
        <f t="shared" si="57"/>
        <v>0</v>
      </c>
      <c r="F68" s="18">
        <f t="shared" si="57"/>
        <v>1045900000</v>
      </c>
      <c r="G68" s="18">
        <f t="shared" si="57"/>
        <v>0</v>
      </c>
      <c r="H68" s="18">
        <f t="shared" si="57"/>
        <v>847833652</v>
      </c>
      <c r="I68" s="18">
        <f t="shared" si="57"/>
        <v>9183001</v>
      </c>
      <c r="J68" s="18">
        <f t="shared" si="57"/>
        <v>847833652</v>
      </c>
      <c r="K68" s="18">
        <f t="shared" si="57"/>
        <v>728633652</v>
      </c>
      <c r="L68" s="18">
        <f t="shared" si="57"/>
        <v>728633652</v>
      </c>
      <c r="M68" s="18">
        <f t="shared" si="57"/>
        <v>728633652</v>
      </c>
      <c r="N68" s="20">
        <f t="shared" si="10"/>
        <v>0.81062592217229179</v>
      </c>
      <c r="O68" s="20">
        <f t="shared" si="11"/>
        <v>0.69665709150014343</v>
      </c>
      <c r="P68" s="56">
        <f t="shared" si="12"/>
        <v>0</v>
      </c>
      <c r="Q68" s="56">
        <f t="shared" si="13"/>
        <v>119200000</v>
      </c>
      <c r="R68" s="56">
        <f t="shared" si="14"/>
        <v>0</v>
      </c>
    </row>
    <row r="69" spans="1:18" ht="22.5" x14ac:dyDescent="0.25">
      <c r="A69" s="33" t="s">
        <v>160</v>
      </c>
      <c r="B69" s="12" t="s">
        <v>163</v>
      </c>
      <c r="C69" s="13">
        <f>datos!Q44</f>
        <v>185900000</v>
      </c>
      <c r="D69" s="13">
        <f>datos!R44</f>
        <v>0</v>
      </c>
      <c r="E69" s="13">
        <f>datos!S44</f>
        <v>0</v>
      </c>
      <c r="F69" s="57">
        <f>+C69</f>
        <v>185900000</v>
      </c>
      <c r="G69" s="13">
        <f>datos!U44</f>
        <v>0</v>
      </c>
      <c r="H69" s="13">
        <f>datos!V44</f>
        <v>127601667</v>
      </c>
      <c r="I69" s="14">
        <f>datos!W44</f>
        <v>0</v>
      </c>
      <c r="J69" s="13">
        <f>datos!X44</f>
        <v>127601667</v>
      </c>
      <c r="K69" s="13">
        <f>datos!Y44</f>
        <v>127601667</v>
      </c>
      <c r="L69" s="13">
        <f>datos!Z44</f>
        <v>127601667</v>
      </c>
      <c r="M69" s="13">
        <f>datos!AA44</f>
        <v>127601667</v>
      </c>
      <c r="N69" s="15">
        <f t="shared" si="10"/>
        <v>0.6863994997310382</v>
      </c>
      <c r="O69" s="15">
        <f t="shared" si="11"/>
        <v>0.6863994997310382</v>
      </c>
      <c r="P69" s="56">
        <f t="shared" si="12"/>
        <v>0</v>
      </c>
      <c r="Q69" s="56">
        <f t="shared" si="13"/>
        <v>0</v>
      </c>
      <c r="R69" s="56">
        <f t="shared" si="14"/>
        <v>0</v>
      </c>
    </row>
    <row r="70" spans="1:18" ht="22.5" x14ac:dyDescent="0.25">
      <c r="A70" s="33" t="s">
        <v>161</v>
      </c>
      <c r="B70" s="12" t="s">
        <v>164</v>
      </c>
      <c r="C70" s="13">
        <f>datos!Q45</f>
        <v>120000000</v>
      </c>
      <c r="D70" s="13">
        <f>datos!R45</f>
        <v>0</v>
      </c>
      <c r="E70" s="13">
        <f>datos!S45</f>
        <v>0</v>
      </c>
      <c r="F70" s="57">
        <f>+C70</f>
        <v>120000000</v>
      </c>
      <c r="G70" s="13">
        <f>datos!U45</f>
        <v>0</v>
      </c>
      <c r="H70" s="13">
        <f>datos!V45</f>
        <v>106743761</v>
      </c>
      <c r="I70" s="14">
        <f>datos!W45</f>
        <v>1</v>
      </c>
      <c r="J70" s="13">
        <f>datos!X45</f>
        <v>106743761</v>
      </c>
      <c r="K70" s="13">
        <f>datos!Y45</f>
        <v>106743761</v>
      </c>
      <c r="L70" s="13">
        <f>datos!Z45</f>
        <v>106743761</v>
      </c>
      <c r="M70" s="13">
        <f>datos!AA45</f>
        <v>106743761</v>
      </c>
      <c r="N70" s="15">
        <f t="shared" si="10"/>
        <v>0.8895313416666667</v>
      </c>
      <c r="O70" s="15">
        <f t="shared" si="11"/>
        <v>0.8895313416666667</v>
      </c>
      <c r="P70" s="56">
        <f t="shared" si="12"/>
        <v>0</v>
      </c>
      <c r="Q70" s="56">
        <f t="shared" si="13"/>
        <v>0</v>
      </c>
      <c r="R70" s="56">
        <f t="shared" si="14"/>
        <v>0</v>
      </c>
    </row>
    <row r="71" spans="1:18" ht="22.5" x14ac:dyDescent="0.25">
      <c r="A71" s="33" t="s">
        <v>162</v>
      </c>
      <c r="B71" s="12" t="s">
        <v>165</v>
      </c>
      <c r="C71" s="13">
        <f>datos!Q46</f>
        <v>740000000</v>
      </c>
      <c r="D71" s="13">
        <f>datos!R46</f>
        <v>0</v>
      </c>
      <c r="E71" s="13">
        <f>datos!S46</f>
        <v>0</v>
      </c>
      <c r="F71" s="57">
        <f>+C71</f>
        <v>740000000</v>
      </c>
      <c r="G71" s="13">
        <f>datos!U46</f>
        <v>0</v>
      </c>
      <c r="H71" s="13">
        <f>datos!V46</f>
        <v>613488224</v>
      </c>
      <c r="I71" s="14">
        <f>datos!W46</f>
        <v>9183000</v>
      </c>
      <c r="J71" s="13">
        <f>datos!X46</f>
        <v>613488224</v>
      </c>
      <c r="K71" s="13">
        <f>datos!Y46</f>
        <v>494288224</v>
      </c>
      <c r="L71" s="13">
        <f>datos!Z46</f>
        <v>494288224</v>
      </c>
      <c r="M71" s="13">
        <f>datos!AA46</f>
        <v>494288224</v>
      </c>
      <c r="N71" s="15">
        <f t="shared" si="10"/>
        <v>0.82903814054054059</v>
      </c>
      <c r="O71" s="15">
        <f t="shared" si="11"/>
        <v>0.66795705945945949</v>
      </c>
      <c r="P71" s="56">
        <f t="shared" si="12"/>
        <v>0</v>
      </c>
      <c r="Q71" s="56">
        <f t="shared" si="13"/>
        <v>119200000</v>
      </c>
      <c r="R71" s="56">
        <f t="shared" si="14"/>
        <v>0</v>
      </c>
    </row>
    <row r="72" spans="1:18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8">SUM(D73:D74)</f>
        <v>0</v>
      </c>
      <c r="E72" s="18">
        <f t="shared" si="58"/>
        <v>0</v>
      </c>
      <c r="F72" s="18">
        <f t="shared" si="58"/>
        <v>2825211185</v>
      </c>
      <c r="G72" s="18">
        <f t="shared" si="58"/>
        <v>0</v>
      </c>
      <c r="H72" s="18">
        <f t="shared" si="58"/>
        <v>2429993947.1099997</v>
      </c>
      <c r="I72" s="18">
        <f t="shared" si="58"/>
        <v>15217237.890000001</v>
      </c>
      <c r="J72" s="18">
        <f t="shared" si="58"/>
        <v>2429993947.1099997</v>
      </c>
      <c r="K72" s="18">
        <f t="shared" si="58"/>
        <v>2354993947.1099997</v>
      </c>
      <c r="L72" s="18">
        <f t="shared" si="58"/>
        <v>2296363786.8400002</v>
      </c>
      <c r="M72" s="18">
        <f t="shared" si="58"/>
        <v>2296363786.8400002</v>
      </c>
      <c r="N72" s="20">
        <f t="shared" si="10"/>
        <v>0.86011055032333794</v>
      </c>
      <c r="O72" s="20">
        <f t="shared" si="11"/>
        <v>0.83356386227460011</v>
      </c>
      <c r="P72" s="56">
        <f t="shared" si="12"/>
        <v>0</v>
      </c>
      <c r="Q72" s="56">
        <f t="shared" si="13"/>
        <v>75000000</v>
      </c>
      <c r="R72" s="56">
        <f t="shared" si="14"/>
        <v>58630160.269999504</v>
      </c>
    </row>
    <row r="73" spans="1:18" ht="22.5" x14ac:dyDescent="0.25">
      <c r="A73" s="33" t="s">
        <v>166</v>
      </c>
      <c r="B73" s="12" t="s">
        <v>165</v>
      </c>
      <c r="C73" s="13">
        <f>datos!Q47</f>
        <v>1900000000</v>
      </c>
      <c r="D73" s="13">
        <f>datos!R47</f>
        <v>0</v>
      </c>
      <c r="E73" s="13">
        <f>datos!S47</f>
        <v>0</v>
      </c>
      <c r="F73" s="57">
        <f>+C73</f>
        <v>1900000000</v>
      </c>
      <c r="G73" s="13">
        <f>datos!U47</f>
        <v>0</v>
      </c>
      <c r="H73" s="13">
        <f>datos!V47</f>
        <v>1727496737.1099999</v>
      </c>
      <c r="I73" s="14">
        <f>datos!W47</f>
        <v>12503262.890000001</v>
      </c>
      <c r="J73" s="13">
        <f>datos!X47</f>
        <v>1727496737.1099999</v>
      </c>
      <c r="K73" s="13">
        <f>datos!Y47</f>
        <v>1727496737.1099999</v>
      </c>
      <c r="L73" s="13">
        <f>datos!Z47</f>
        <v>1668866576.8399999</v>
      </c>
      <c r="M73" s="13">
        <f>datos!AA47</f>
        <v>1668866576.8399999</v>
      </c>
      <c r="N73" s="15">
        <f t="shared" si="10"/>
        <v>0.90920880900526313</v>
      </c>
      <c r="O73" s="15">
        <f t="shared" si="11"/>
        <v>0.90920880900526313</v>
      </c>
      <c r="P73" s="56">
        <f t="shared" si="12"/>
        <v>0</v>
      </c>
      <c r="Q73" s="56">
        <f t="shared" si="13"/>
        <v>0</v>
      </c>
      <c r="R73" s="56">
        <f t="shared" si="14"/>
        <v>58630160.269999981</v>
      </c>
    </row>
    <row r="74" spans="1:18" ht="22.5" x14ac:dyDescent="0.25">
      <c r="A74" s="33" t="s">
        <v>167</v>
      </c>
      <c r="B74" s="12" t="s">
        <v>168</v>
      </c>
      <c r="C74" s="13">
        <f>datos!Q48</f>
        <v>925211185</v>
      </c>
      <c r="D74" s="13">
        <f>datos!R48</f>
        <v>0</v>
      </c>
      <c r="E74" s="13">
        <f>datos!S48</f>
        <v>0</v>
      </c>
      <c r="F74" s="57">
        <f>+C74</f>
        <v>925211185</v>
      </c>
      <c r="G74" s="13">
        <f>datos!U48</f>
        <v>0</v>
      </c>
      <c r="H74" s="13">
        <f>datos!V48</f>
        <v>702497210</v>
      </c>
      <c r="I74" s="14">
        <f>datos!W48</f>
        <v>2713975</v>
      </c>
      <c r="J74" s="13">
        <f>datos!X48</f>
        <v>702497210</v>
      </c>
      <c r="K74" s="13">
        <f>datos!Y48</f>
        <v>627497210</v>
      </c>
      <c r="L74" s="13">
        <f>datos!Z48</f>
        <v>627497210</v>
      </c>
      <c r="M74" s="13">
        <f>datos!AA48</f>
        <v>627497210</v>
      </c>
      <c r="N74" s="15">
        <f t="shared" si="10"/>
        <v>0.75928309275681749</v>
      </c>
      <c r="O74" s="15">
        <f t="shared" si="11"/>
        <v>0.6782205189186078</v>
      </c>
      <c r="P74" s="56">
        <f t="shared" ref="P74:P86" si="59">+H74-J74</f>
        <v>0</v>
      </c>
      <c r="Q74" s="56">
        <f t="shared" ref="Q74:Q86" si="60">+J74-K74</f>
        <v>75000000</v>
      </c>
      <c r="R74" s="56">
        <f t="shared" ref="R74:R86" si="61">+K74-L74</f>
        <v>0</v>
      </c>
    </row>
    <row r="75" spans="1:18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62">SUM(D76:D79)</f>
        <v>0</v>
      </c>
      <c r="E75" s="18">
        <f t="shared" si="62"/>
        <v>180000000</v>
      </c>
      <c r="F75" s="18">
        <f t="shared" si="62"/>
        <v>2220000000</v>
      </c>
      <c r="G75" s="18">
        <f t="shared" si="62"/>
        <v>0</v>
      </c>
      <c r="H75" s="18">
        <f t="shared" si="62"/>
        <v>2203484604.6700001</v>
      </c>
      <c r="I75" s="18">
        <f t="shared" si="62"/>
        <v>16515395.33</v>
      </c>
      <c r="J75" s="18">
        <f t="shared" si="62"/>
        <v>2203484604.6700001</v>
      </c>
      <c r="K75" s="18">
        <f t="shared" si="62"/>
        <v>2186384605.6700001</v>
      </c>
      <c r="L75" s="18">
        <f t="shared" si="62"/>
        <v>2186384605.6700001</v>
      </c>
      <c r="M75" s="18">
        <f t="shared" si="62"/>
        <v>2186384605.6700001</v>
      </c>
      <c r="N75" s="20">
        <f t="shared" si="10"/>
        <v>0.99256063273423423</v>
      </c>
      <c r="O75" s="20">
        <f t="shared" si="11"/>
        <v>0.984857930481982</v>
      </c>
      <c r="P75" s="56">
        <f t="shared" si="59"/>
        <v>0</v>
      </c>
      <c r="Q75" s="56">
        <f t="shared" si="60"/>
        <v>17099999</v>
      </c>
      <c r="R75" s="56">
        <f t="shared" si="61"/>
        <v>0</v>
      </c>
    </row>
    <row r="76" spans="1:18" ht="22.5" x14ac:dyDescent="0.25">
      <c r="A76" s="33" t="s">
        <v>150</v>
      </c>
      <c r="B76" s="12" t="s">
        <v>154</v>
      </c>
      <c r="C76" s="13">
        <f>datos!Q49</f>
        <v>947762000</v>
      </c>
      <c r="D76" s="13">
        <f>datos!R49</f>
        <v>0</v>
      </c>
      <c r="E76" s="13">
        <f>datos!S49</f>
        <v>74463633</v>
      </c>
      <c r="F76" s="14">
        <f>datos!T49</f>
        <v>873298367</v>
      </c>
      <c r="G76" s="13">
        <f>datos!U49</f>
        <v>0</v>
      </c>
      <c r="H76" s="13">
        <f>datos!V49</f>
        <v>859548279.66999996</v>
      </c>
      <c r="I76" s="14">
        <f>datos!W49</f>
        <v>13750087.33</v>
      </c>
      <c r="J76" s="13">
        <f>datos!X49</f>
        <v>859548279.66999996</v>
      </c>
      <c r="K76" s="13">
        <f>datos!Y49</f>
        <v>849681612.66999996</v>
      </c>
      <c r="L76" s="13">
        <f>datos!Z49</f>
        <v>849681612.66999996</v>
      </c>
      <c r="M76" s="13">
        <f>datos!AA49</f>
        <v>849681612.66999996</v>
      </c>
      <c r="N76" s="15">
        <f t="shared" si="10"/>
        <v>0.98425499479950351</v>
      </c>
      <c r="O76" s="15">
        <f t="shared" si="11"/>
        <v>0.97295683214073836</v>
      </c>
      <c r="P76" s="56">
        <f t="shared" si="59"/>
        <v>0</v>
      </c>
      <c r="Q76" s="56">
        <f t="shared" si="60"/>
        <v>9866667</v>
      </c>
      <c r="R76" s="56">
        <f t="shared" si="61"/>
        <v>0</v>
      </c>
    </row>
    <row r="77" spans="1:18" ht="22.5" x14ac:dyDescent="0.25">
      <c r="A77" s="33" t="s">
        <v>151</v>
      </c>
      <c r="B77" s="12" t="s">
        <v>155</v>
      </c>
      <c r="C77" s="13">
        <f>datos!Q50</f>
        <v>400000000</v>
      </c>
      <c r="D77" s="13">
        <f>datos!R50</f>
        <v>0</v>
      </c>
      <c r="E77" s="13">
        <f>datos!S50</f>
        <v>0</v>
      </c>
      <c r="F77" s="14">
        <f>datos!T50</f>
        <v>400000000</v>
      </c>
      <c r="G77" s="13">
        <f>datos!U50</f>
        <v>0</v>
      </c>
      <c r="H77" s="13">
        <f>datos!V50</f>
        <v>399122811</v>
      </c>
      <c r="I77" s="14">
        <f>datos!W50</f>
        <v>877189</v>
      </c>
      <c r="J77" s="13">
        <f>datos!X50</f>
        <v>399122811</v>
      </c>
      <c r="K77" s="13">
        <f>datos!Y50</f>
        <v>391889479</v>
      </c>
      <c r="L77" s="13">
        <f>datos!Z50</f>
        <v>391889479</v>
      </c>
      <c r="M77" s="13">
        <f>datos!AA50</f>
        <v>391889479</v>
      </c>
      <c r="N77" s="15">
        <f t="shared" si="10"/>
        <v>0.99780702750000005</v>
      </c>
      <c r="O77" s="15">
        <f t="shared" si="11"/>
        <v>0.97972369749999999</v>
      </c>
      <c r="P77" s="56">
        <f t="shared" si="59"/>
        <v>0</v>
      </c>
      <c r="Q77" s="56">
        <f t="shared" si="60"/>
        <v>7233332</v>
      </c>
      <c r="R77" s="56">
        <f t="shared" si="61"/>
        <v>0</v>
      </c>
    </row>
    <row r="78" spans="1:18" ht="33.75" x14ac:dyDescent="0.25">
      <c r="A78" s="33" t="s">
        <v>152</v>
      </c>
      <c r="B78" s="12" t="s">
        <v>156</v>
      </c>
      <c r="C78" s="13">
        <f>datos!Q51</f>
        <v>201220000</v>
      </c>
      <c r="D78" s="13">
        <f>datos!R51</f>
        <v>0</v>
      </c>
      <c r="E78" s="13">
        <f>datos!S51</f>
        <v>25000000</v>
      </c>
      <c r="F78" s="14">
        <f>datos!T51</f>
        <v>176220000</v>
      </c>
      <c r="G78" s="13">
        <f>datos!U51</f>
        <v>0</v>
      </c>
      <c r="H78" s="13">
        <f>datos!V51</f>
        <v>174331881</v>
      </c>
      <c r="I78" s="14">
        <f>datos!W51</f>
        <v>1888119</v>
      </c>
      <c r="J78" s="13">
        <f>datos!X51</f>
        <v>174331881</v>
      </c>
      <c r="K78" s="13">
        <f>datos!Y51</f>
        <v>174331881</v>
      </c>
      <c r="L78" s="13">
        <f>datos!Z51</f>
        <v>174331881</v>
      </c>
      <c r="M78" s="13">
        <f>datos!AA51</f>
        <v>174331881</v>
      </c>
      <c r="N78" s="15">
        <f t="shared" si="10"/>
        <v>0.98928544433095</v>
      </c>
      <c r="O78" s="15">
        <f t="shared" si="11"/>
        <v>0.98928544433095</v>
      </c>
      <c r="P78" s="56">
        <f t="shared" si="59"/>
        <v>0</v>
      </c>
      <c r="Q78" s="56">
        <f t="shared" si="60"/>
        <v>0</v>
      </c>
      <c r="R78" s="56">
        <f t="shared" si="61"/>
        <v>0</v>
      </c>
    </row>
    <row r="79" spans="1:18" ht="22.5" x14ac:dyDescent="0.25">
      <c r="A79" s="33" t="s">
        <v>153</v>
      </c>
      <c r="B79" s="12" t="s">
        <v>157</v>
      </c>
      <c r="C79" s="13">
        <f>datos!Q52</f>
        <v>851018000</v>
      </c>
      <c r="D79" s="13">
        <f>datos!R52</f>
        <v>0</v>
      </c>
      <c r="E79" s="13">
        <f>datos!S52</f>
        <v>80536367</v>
      </c>
      <c r="F79" s="14">
        <f>datos!T52</f>
        <v>770481633</v>
      </c>
      <c r="G79" s="13">
        <f>datos!U52</f>
        <v>0</v>
      </c>
      <c r="H79" s="13">
        <f>datos!V52</f>
        <v>770481633</v>
      </c>
      <c r="I79" s="14">
        <f>datos!W52</f>
        <v>0</v>
      </c>
      <c r="J79" s="13">
        <f>datos!X52</f>
        <v>770481633</v>
      </c>
      <c r="K79" s="13">
        <f>datos!Y52</f>
        <v>770481633</v>
      </c>
      <c r="L79" s="13">
        <f>datos!Z52</f>
        <v>770481633</v>
      </c>
      <c r="M79" s="13">
        <f>datos!AA52</f>
        <v>770481633</v>
      </c>
      <c r="N79" s="15">
        <f t="shared" si="10"/>
        <v>1</v>
      </c>
      <c r="O79" s="15">
        <f t="shared" si="11"/>
        <v>1</v>
      </c>
      <c r="P79" s="56">
        <f t="shared" si="59"/>
        <v>0</v>
      </c>
      <c r="Q79" s="56">
        <f t="shared" si="60"/>
        <v>0</v>
      </c>
      <c r="R79" s="56">
        <f t="shared" si="61"/>
        <v>0</v>
      </c>
    </row>
    <row r="80" spans="1:18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63">SUM(D81:D82)</f>
        <v>0</v>
      </c>
      <c r="E80" s="18">
        <f t="shared" si="63"/>
        <v>0</v>
      </c>
      <c r="F80" s="18">
        <f t="shared" si="63"/>
        <v>200000000</v>
      </c>
      <c r="G80" s="18">
        <f t="shared" si="63"/>
        <v>0</v>
      </c>
      <c r="H80" s="18">
        <f t="shared" si="63"/>
        <v>121799975</v>
      </c>
      <c r="I80" s="18">
        <f t="shared" si="63"/>
        <v>25</v>
      </c>
      <c r="J80" s="18">
        <f t="shared" si="63"/>
        <v>121799975</v>
      </c>
      <c r="K80" s="18">
        <f t="shared" si="63"/>
        <v>121799975</v>
      </c>
      <c r="L80" s="18">
        <f t="shared" si="63"/>
        <v>121799975</v>
      </c>
      <c r="M80" s="18">
        <f t="shared" si="63"/>
        <v>121799975</v>
      </c>
      <c r="N80" s="20">
        <f t="shared" si="10"/>
        <v>0.60899987499999997</v>
      </c>
      <c r="O80" s="20">
        <f t="shared" si="11"/>
        <v>0.60899987499999997</v>
      </c>
      <c r="P80" s="56">
        <f t="shared" si="59"/>
        <v>0</v>
      </c>
      <c r="Q80" s="56">
        <f t="shared" si="60"/>
        <v>0</v>
      </c>
      <c r="R80" s="56">
        <f t="shared" si="61"/>
        <v>0</v>
      </c>
    </row>
    <row r="81" spans="1:18" ht="22.5" x14ac:dyDescent="0.25">
      <c r="A81" s="33" t="s">
        <v>170</v>
      </c>
      <c r="B81" s="12" t="s">
        <v>164</v>
      </c>
      <c r="C81" s="13">
        <f>datos!Q53</f>
        <v>80000000</v>
      </c>
      <c r="D81" s="13">
        <f>datos!R53</f>
        <v>0</v>
      </c>
      <c r="E81" s="13">
        <f>datos!S53</f>
        <v>0</v>
      </c>
      <c r="F81" s="57">
        <f>+C81</f>
        <v>80000000</v>
      </c>
      <c r="G81" s="13">
        <f>datos!U53</f>
        <v>0</v>
      </c>
      <c r="H81" s="13">
        <f>datos!V53</f>
        <v>79999975</v>
      </c>
      <c r="I81" s="14">
        <f>datos!W53</f>
        <v>25</v>
      </c>
      <c r="J81" s="13">
        <f>datos!X53</f>
        <v>79999975</v>
      </c>
      <c r="K81" s="13">
        <f>datos!Y53</f>
        <v>79999975</v>
      </c>
      <c r="L81" s="13">
        <f>datos!Z53</f>
        <v>79999975</v>
      </c>
      <c r="M81" s="13">
        <f>datos!AA53</f>
        <v>79999975</v>
      </c>
      <c r="N81" s="15">
        <f>+J81/F81</f>
        <v>0.99999968750000001</v>
      </c>
      <c r="O81" s="15">
        <f>+K81/F81</f>
        <v>0.99999968750000001</v>
      </c>
      <c r="P81" s="56">
        <f t="shared" si="59"/>
        <v>0</v>
      </c>
      <c r="Q81" s="56">
        <f t="shared" si="60"/>
        <v>0</v>
      </c>
      <c r="R81" s="56">
        <f t="shared" si="61"/>
        <v>0</v>
      </c>
    </row>
    <row r="82" spans="1:18" ht="22.5" x14ac:dyDescent="0.25">
      <c r="A82" s="33" t="s">
        <v>169</v>
      </c>
      <c r="B82" s="12" t="s">
        <v>171</v>
      </c>
      <c r="C82" s="13">
        <f>datos!Q54</f>
        <v>120000000</v>
      </c>
      <c r="D82" s="13">
        <f>datos!R54</f>
        <v>0</v>
      </c>
      <c r="E82" s="13">
        <f>datos!S54</f>
        <v>0</v>
      </c>
      <c r="F82" s="57">
        <f>+C82</f>
        <v>120000000</v>
      </c>
      <c r="G82" s="13">
        <f>datos!U54</f>
        <v>0</v>
      </c>
      <c r="H82" s="13">
        <f>datos!V54</f>
        <v>41800000</v>
      </c>
      <c r="I82" s="14">
        <f>datos!W54</f>
        <v>0</v>
      </c>
      <c r="J82" s="13">
        <f>datos!X54</f>
        <v>41800000</v>
      </c>
      <c r="K82" s="13">
        <f>datos!Y54</f>
        <v>41800000</v>
      </c>
      <c r="L82" s="13">
        <f>datos!Z54</f>
        <v>41800000</v>
      </c>
      <c r="M82" s="13">
        <f>datos!AA54</f>
        <v>41800000</v>
      </c>
      <c r="N82" s="15">
        <f>+J82/F82</f>
        <v>0.34833333333333333</v>
      </c>
      <c r="O82" s="15">
        <f>+K82/F82</f>
        <v>0.34833333333333333</v>
      </c>
      <c r="P82" s="56">
        <f t="shared" si="59"/>
        <v>0</v>
      </c>
      <c r="Q82" s="56">
        <f t="shared" si="60"/>
        <v>0</v>
      </c>
      <c r="R82" s="56">
        <f t="shared" si="61"/>
        <v>0</v>
      </c>
    </row>
    <row r="83" spans="1:18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64">SUM(D84:D85)</f>
        <v>0</v>
      </c>
      <c r="E83" s="18">
        <f t="shared" si="64"/>
        <v>0</v>
      </c>
      <c r="F83" s="18">
        <f t="shared" si="64"/>
        <v>328888815</v>
      </c>
      <c r="G83" s="18">
        <f t="shared" si="64"/>
        <v>0</v>
      </c>
      <c r="H83" s="18">
        <f t="shared" si="64"/>
        <v>296631713</v>
      </c>
      <c r="I83" s="18">
        <f t="shared" si="64"/>
        <v>32257102</v>
      </c>
      <c r="J83" s="18">
        <f t="shared" si="64"/>
        <v>296631713</v>
      </c>
      <c r="K83" s="18">
        <f t="shared" si="64"/>
        <v>296631713</v>
      </c>
      <c r="L83" s="18">
        <f t="shared" si="64"/>
        <v>266570169</v>
      </c>
      <c r="M83" s="18">
        <f t="shared" si="64"/>
        <v>266570169</v>
      </c>
      <c r="N83" s="20">
        <f t="shared" si="10"/>
        <v>0.90192095161399755</v>
      </c>
      <c r="O83" s="20">
        <f t="shared" si="11"/>
        <v>0.90192095161399755</v>
      </c>
      <c r="P83" s="56">
        <f t="shared" si="59"/>
        <v>0</v>
      </c>
      <c r="Q83" s="56">
        <f t="shared" si="60"/>
        <v>0</v>
      </c>
      <c r="R83" s="56">
        <f t="shared" si="61"/>
        <v>30061544</v>
      </c>
    </row>
    <row r="84" spans="1:18" ht="33.75" x14ac:dyDescent="0.25">
      <c r="A84" s="33" t="s">
        <v>173</v>
      </c>
      <c r="B84" s="12" t="s">
        <v>156</v>
      </c>
      <c r="C84" s="13">
        <f>datos!Q55</f>
        <v>294200481</v>
      </c>
      <c r="D84" s="13">
        <f>datos!R55</f>
        <v>0</v>
      </c>
      <c r="E84" s="13">
        <f>datos!S55</f>
        <v>0</v>
      </c>
      <c r="F84" s="57">
        <f>datos!T55</f>
        <v>294200481</v>
      </c>
      <c r="G84" s="13">
        <f>datos!U55</f>
        <v>0</v>
      </c>
      <c r="H84" s="13">
        <f>datos!V55</f>
        <v>270920289</v>
      </c>
      <c r="I84" s="14">
        <f>datos!W55</f>
        <v>23280192</v>
      </c>
      <c r="J84" s="13">
        <f>datos!X55</f>
        <v>270920289</v>
      </c>
      <c r="K84" s="13">
        <f>datos!Y55</f>
        <v>270920289</v>
      </c>
      <c r="L84" s="13">
        <f>datos!Z55</f>
        <v>240858745</v>
      </c>
      <c r="M84" s="13">
        <f>datos!AA55</f>
        <v>240858745</v>
      </c>
      <c r="N84" s="15">
        <f t="shared" si="10"/>
        <v>0.92086963311253045</v>
      </c>
      <c r="O84" s="15">
        <f t="shared" si="11"/>
        <v>0.92086963311253045</v>
      </c>
      <c r="P84" s="56">
        <f t="shared" si="59"/>
        <v>0</v>
      </c>
      <c r="Q84" s="56">
        <f t="shared" si="60"/>
        <v>0</v>
      </c>
      <c r="R84" s="56">
        <f t="shared" si="61"/>
        <v>30061544</v>
      </c>
    </row>
    <row r="85" spans="1:18" ht="22.5" x14ac:dyDescent="0.25">
      <c r="A85" s="33" t="s">
        <v>172</v>
      </c>
      <c r="B85" s="12" t="s">
        <v>171</v>
      </c>
      <c r="C85" s="13">
        <f>datos!Q56</f>
        <v>34688334</v>
      </c>
      <c r="D85" s="13">
        <f>datos!R56</f>
        <v>0</v>
      </c>
      <c r="E85" s="13">
        <f>datos!S56</f>
        <v>0</v>
      </c>
      <c r="F85" s="57">
        <f>datos!T56</f>
        <v>34688334</v>
      </c>
      <c r="G85" s="13">
        <f>datos!U56</f>
        <v>0</v>
      </c>
      <c r="H85" s="13">
        <f>datos!V56</f>
        <v>25711424</v>
      </c>
      <c r="I85" s="14">
        <f>datos!W56</f>
        <v>8976910</v>
      </c>
      <c r="J85" s="13">
        <f>datos!X56</f>
        <v>25711424</v>
      </c>
      <c r="K85" s="13">
        <f>datos!Y56</f>
        <v>25711424</v>
      </c>
      <c r="L85" s="13">
        <f>datos!Z56</f>
        <v>25711424</v>
      </c>
      <c r="M85" s="13">
        <f>datos!AA56</f>
        <v>25711424</v>
      </c>
      <c r="N85" s="15">
        <f t="shared" si="10"/>
        <v>0.74121242029092549</v>
      </c>
      <c r="O85" s="15">
        <f t="shared" si="11"/>
        <v>0.74121242029092549</v>
      </c>
      <c r="P85" s="56">
        <f t="shared" si="59"/>
        <v>0</v>
      </c>
      <c r="Q85" s="56">
        <f t="shared" si="60"/>
        <v>0</v>
      </c>
      <c r="R85" s="56">
        <f t="shared" si="61"/>
        <v>0</v>
      </c>
    </row>
    <row r="86" spans="1:18" x14ac:dyDescent="0.25">
      <c r="A86" s="68" t="s">
        <v>143</v>
      </c>
      <c r="B86" s="68" t="s">
        <v>0</v>
      </c>
      <c r="C86" s="7">
        <f t="shared" ref="C86:M86" si="65">+C5+C65</f>
        <v>36191962728</v>
      </c>
      <c r="D86" s="8">
        <f t="shared" si="65"/>
        <v>2776857940</v>
      </c>
      <c r="E86" s="8">
        <f t="shared" si="65"/>
        <v>5818361940</v>
      </c>
      <c r="F86" s="8">
        <f t="shared" si="65"/>
        <v>33150458728.000111</v>
      </c>
      <c r="G86" s="8">
        <f t="shared" si="65"/>
        <v>1E-4</v>
      </c>
      <c r="H86" s="8">
        <f t="shared" si="65"/>
        <v>30645894670.459999</v>
      </c>
      <c r="I86" s="8">
        <f t="shared" si="65"/>
        <v>1857480710.5400107</v>
      </c>
      <c r="J86" s="8">
        <f t="shared" si="65"/>
        <v>30645894670.459999</v>
      </c>
      <c r="K86" s="8">
        <f t="shared" si="65"/>
        <v>30206537100.119999</v>
      </c>
      <c r="L86" s="8">
        <f t="shared" si="65"/>
        <v>30117845395.849998</v>
      </c>
      <c r="M86" s="8">
        <f t="shared" si="65"/>
        <v>30117845395.849998</v>
      </c>
      <c r="N86" s="9">
        <f t="shared" si="10"/>
        <v>0.92444858521898332</v>
      </c>
      <c r="O86" s="10">
        <f t="shared" si="11"/>
        <v>0.91119514658801493</v>
      </c>
      <c r="P86" s="56">
        <f t="shared" si="59"/>
        <v>0</v>
      </c>
      <c r="Q86" s="56">
        <f t="shared" si="60"/>
        <v>439357570.34000015</v>
      </c>
      <c r="R86" s="56">
        <f t="shared" si="61"/>
        <v>88691704.270000458</v>
      </c>
    </row>
    <row r="87" spans="1:18" x14ac:dyDescent="0.25">
      <c r="A87" s="4" t="s">
        <v>25</v>
      </c>
      <c r="C87" s="58"/>
      <c r="P87" s="38"/>
      <c r="Q87" s="38"/>
      <c r="R87" s="38"/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72"/>
  <sheetViews>
    <sheetView topLeftCell="K55" zoomScale="85" zoomScaleNormal="85" workbookViewId="0">
      <selection activeCell="Q64" sqref="Q64"/>
    </sheetView>
  </sheetViews>
  <sheetFormatPr baseColWidth="10" defaultRowHeight="15" x14ac:dyDescent="0.25"/>
  <cols>
    <col min="1" max="1" width="13.42578125" style="36" customWidth="1"/>
    <col min="2" max="2" width="27" style="36" customWidth="1"/>
    <col min="3" max="3" width="21.5703125" style="36" customWidth="1"/>
    <col min="4" max="11" width="5.42578125" style="36" customWidth="1"/>
    <col min="12" max="12" width="7" style="36" customWidth="1"/>
    <col min="13" max="13" width="9.5703125" style="36" customWidth="1"/>
    <col min="14" max="14" width="8" style="36" customWidth="1"/>
    <col min="15" max="15" width="9.5703125" style="36" customWidth="1"/>
    <col min="16" max="16" width="27.5703125" style="36" customWidth="1"/>
    <col min="17" max="27" width="18.85546875" style="36" customWidth="1"/>
    <col min="28" max="28" width="0" style="36" hidden="1" customWidth="1"/>
    <col min="29" max="29" width="6.42578125" style="36" customWidth="1"/>
    <col min="30" max="16384" width="11.42578125" style="36"/>
  </cols>
  <sheetData>
    <row r="1" spans="1:30" x14ac:dyDescent="0.25">
      <c r="A1" s="45" t="s">
        <v>241</v>
      </c>
      <c r="B1" s="45">
        <v>2019</v>
      </c>
      <c r="C1" s="46" t="s">
        <v>0</v>
      </c>
      <c r="D1" s="46" t="s">
        <v>0</v>
      </c>
      <c r="E1" s="46" t="s">
        <v>0</v>
      </c>
      <c r="F1" s="46" t="s">
        <v>0</v>
      </c>
      <c r="G1" s="46" t="s">
        <v>0</v>
      </c>
      <c r="H1" s="46" t="s">
        <v>0</v>
      </c>
      <c r="I1" s="46" t="s">
        <v>0</v>
      </c>
      <c r="J1" s="46" t="s">
        <v>0</v>
      </c>
      <c r="K1" s="46" t="s">
        <v>0</v>
      </c>
      <c r="L1" s="46" t="s">
        <v>0</v>
      </c>
      <c r="M1" s="46" t="s">
        <v>0</v>
      </c>
      <c r="N1" s="46" t="s">
        <v>0</v>
      </c>
      <c r="O1" s="46" t="s">
        <v>0</v>
      </c>
      <c r="P1" s="46" t="s">
        <v>0</v>
      </c>
      <c r="Q1" s="46" t="s">
        <v>0</v>
      </c>
      <c r="R1" s="46" t="s">
        <v>0</v>
      </c>
      <c r="S1" s="46" t="s">
        <v>0</v>
      </c>
      <c r="T1" s="46" t="s">
        <v>0</v>
      </c>
      <c r="U1" s="46" t="s">
        <v>0</v>
      </c>
      <c r="V1" s="46" t="s">
        <v>0</v>
      </c>
      <c r="W1" s="46" t="s">
        <v>0</v>
      </c>
      <c r="X1" s="46" t="s">
        <v>0</v>
      </c>
      <c r="Y1" s="46" t="s">
        <v>0</v>
      </c>
      <c r="Z1" s="46" t="s">
        <v>0</v>
      </c>
      <c r="AA1" s="46" t="s">
        <v>0</v>
      </c>
    </row>
    <row r="2" spans="1:30" x14ac:dyDescent="0.25">
      <c r="A2" s="45" t="s">
        <v>240</v>
      </c>
      <c r="B2" s="45" t="s">
        <v>239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  <c r="Z2" s="46" t="s">
        <v>0</v>
      </c>
      <c r="AA2" s="46" t="s">
        <v>0</v>
      </c>
    </row>
    <row r="3" spans="1:30" x14ac:dyDescent="0.25">
      <c r="A3" s="45" t="s">
        <v>238</v>
      </c>
      <c r="B3" s="45" t="s">
        <v>263</v>
      </c>
      <c r="C3" s="46" t="s">
        <v>0</v>
      </c>
      <c r="D3" s="46" t="s">
        <v>0</v>
      </c>
      <c r="E3" s="46" t="s">
        <v>0</v>
      </c>
      <c r="F3" s="46" t="s">
        <v>0</v>
      </c>
      <c r="G3" s="46" t="s">
        <v>0</v>
      </c>
      <c r="H3" s="46" t="s">
        <v>0</v>
      </c>
      <c r="I3" s="46" t="s">
        <v>0</v>
      </c>
      <c r="J3" s="46" t="s">
        <v>0</v>
      </c>
      <c r="K3" s="46" t="s">
        <v>0</v>
      </c>
      <c r="L3" s="46" t="s">
        <v>0</v>
      </c>
      <c r="M3" s="46" t="s">
        <v>0</v>
      </c>
      <c r="N3" s="46" t="s">
        <v>0</v>
      </c>
      <c r="O3" s="46" t="s">
        <v>0</v>
      </c>
      <c r="P3" s="46" t="s">
        <v>0</v>
      </c>
      <c r="Q3" s="46" t="s">
        <v>0</v>
      </c>
      <c r="R3" s="46" t="s">
        <v>0</v>
      </c>
      <c r="S3" s="46" t="s">
        <v>0</v>
      </c>
      <c r="T3" s="46" t="s">
        <v>0</v>
      </c>
      <c r="U3" s="46" t="s">
        <v>0</v>
      </c>
      <c r="V3" s="46" t="s">
        <v>0</v>
      </c>
      <c r="W3" s="46" t="s">
        <v>0</v>
      </c>
      <c r="X3" s="46" t="s">
        <v>0</v>
      </c>
      <c r="Y3" s="46" t="s">
        <v>0</v>
      </c>
      <c r="Z3" s="46" t="s">
        <v>0</v>
      </c>
      <c r="AA3" s="46" t="s">
        <v>0</v>
      </c>
    </row>
    <row r="4" spans="1:30" ht="24" x14ac:dyDescent="0.25">
      <c r="A4" s="45" t="s">
        <v>237</v>
      </c>
      <c r="B4" s="45" t="s">
        <v>236</v>
      </c>
      <c r="C4" s="45" t="s">
        <v>235</v>
      </c>
      <c r="D4" s="45" t="s">
        <v>234</v>
      </c>
      <c r="E4" s="45" t="s">
        <v>233</v>
      </c>
      <c r="F4" s="45" t="s">
        <v>232</v>
      </c>
      <c r="G4" s="45" t="s">
        <v>231</v>
      </c>
      <c r="H4" s="45" t="s">
        <v>230</v>
      </c>
      <c r="I4" s="45" t="s">
        <v>229</v>
      </c>
      <c r="J4" s="45" t="s">
        <v>228</v>
      </c>
      <c r="K4" s="45" t="s">
        <v>227</v>
      </c>
      <c r="L4" s="45" t="s">
        <v>226</v>
      </c>
      <c r="M4" s="45" t="s">
        <v>225</v>
      </c>
      <c r="N4" s="45" t="s">
        <v>224</v>
      </c>
      <c r="O4" s="45" t="s">
        <v>223</v>
      </c>
      <c r="P4" s="45" t="s">
        <v>1</v>
      </c>
      <c r="Q4" s="45" t="s">
        <v>2</v>
      </c>
      <c r="R4" s="45" t="s">
        <v>3</v>
      </c>
      <c r="S4" s="45" t="s">
        <v>4</v>
      </c>
      <c r="T4" s="45" t="s">
        <v>5</v>
      </c>
      <c r="U4" s="45" t="s">
        <v>6</v>
      </c>
      <c r="V4" s="45" t="s">
        <v>7</v>
      </c>
      <c r="W4" s="45" t="s">
        <v>8</v>
      </c>
      <c r="X4" s="45" t="s">
        <v>9</v>
      </c>
      <c r="Y4" s="45" t="s">
        <v>10</v>
      </c>
      <c r="Z4" s="45" t="s">
        <v>11</v>
      </c>
      <c r="AA4" s="45" t="s">
        <v>12</v>
      </c>
    </row>
    <row r="5" spans="1:30" ht="33.75" x14ac:dyDescent="0.25">
      <c r="A5" s="47" t="s">
        <v>192</v>
      </c>
      <c r="B5" s="48" t="s">
        <v>191</v>
      </c>
      <c r="C5" s="49" t="s">
        <v>50</v>
      </c>
      <c r="D5" s="47" t="s">
        <v>209</v>
      </c>
      <c r="E5" s="47" t="s">
        <v>207</v>
      </c>
      <c r="F5" s="47" t="s">
        <v>207</v>
      </c>
      <c r="G5" s="47" t="s">
        <v>207</v>
      </c>
      <c r="H5" s="47" t="s">
        <v>210</v>
      </c>
      <c r="I5" s="47" t="s">
        <v>210</v>
      </c>
      <c r="J5" s="47"/>
      <c r="K5" s="47"/>
      <c r="L5" s="47"/>
      <c r="M5" s="47" t="s">
        <v>183</v>
      </c>
      <c r="N5" s="47" t="s">
        <v>182</v>
      </c>
      <c r="O5" s="47" t="s">
        <v>181</v>
      </c>
      <c r="P5" s="48" t="s">
        <v>51</v>
      </c>
      <c r="Q5" s="50">
        <v>7663000000</v>
      </c>
      <c r="R5" s="50">
        <v>120000000</v>
      </c>
      <c r="S5" s="50">
        <v>0</v>
      </c>
      <c r="T5" s="50">
        <v>7783000000</v>
      </c>
      <c r="U5" s="50">
        <v>0</v>
      </c>
      <c r="V5" s="50">
        <v>7756293116</v>
      </c>
      <c r="W5" s="50">
        <v>26706884</v>
      </c>
      <c r="X5" s="50">
        <v>7756293116</v>
      </c>
      <c r="Y5" s="50">
        <v>7756293116</v>
      </c>
      <c r="Z5" s="50">
        <v>7756293116</v>
      </c>
      <c r="AA5" s="50">
        <v>7756293116</v>
      </c>
      <c r="AD5" s="37">
        <f>+Q5-Diciembre!C10</f>
        <v>0</v>
      </c>
    </row>
    <row r="6" spans="1:30" ht="33.75" x14ac:dyDescent="0.25">
      <c r="A6" s="47" t="s">
        <v>192</v>
      </c>
      <c r="B6" s="48" t="s">
        <v>191</v>
      </c>
      <c r="C6" s="49" t="s">
        <v>52</v>
      </c>
      <c r="D6" s="47" t="s">
        <v>209</v>
      </c>
      <c r="E6" s="47" t="s">
        <v>207</v>
      </c>
      <c r="F6" s="47" t="s">
        <v>207</v>
      </c>
      <c r="G6" s="47" t="s">
        <v>207</v>
      </c>
      <c r="H6" s="47" t="s">
        <v>210</v>
      </c>
      <c r="I6" s="47" t="s">
        <v>211</v>
      </c>
      <c r="J6" s="47"/>
      <c r="K6" s="47"/>
      <c r="L6" s="47"/>
      <c r="M6" s="47" t="s">
        <v>183</v>
      </c>
      <c r="N6" s="47" t="s">
        <v>182</v>
      </c>
      <c r="O6" s="47" t="s">
        <v>181</v>
      </c>
      <c r="P6" s="48" t="s">
        <v>53</v>
      </c>
      <c r="Q6" s="50">
        <v>73000000</v>
      </c>
      <c r="R6" s="50">
        <v>0</v>
      </c>
      <c r="S6" s="50">
        <v>0</v>
      </c>
      <c r="T6" s="50">
        <v>73000000</v>
      </c>
      <c r="U6" s="50">
        <v>0</v>
      </c>
      <c r="V6" s="50">
        <v>70744956</v>
      </c>
      <c r="W6" s="50">
        <v>2255044</v>
      </c>
      <c r="X6" s="50">
        <v>70744956</v>
      </c>
      <c r="Y6" s="50">
        <v>70744956</v>
      </c>
      <c r="Z6" s="50">
        <v>70744956</v>
      </c>
      <c r="AA6" s="50">
        <v>70744956</v>
      </c>
      <c r="AD6" s="37">
        <f>+Q6-Diciembre!C11</f>
        <v>0</v>
      </c>
    </row>
    <row r="7" spans="1:30" ht="33.75" x14ac:dyDescent="0.25">
      <c r="A7" s="47" t="s">
        <v>192</v>
      </c>
      <c r="B7" s="48" t="s">
        <v>191</v>
      </c>
      <c r="C7" s="49" t="s">
        <v>54</v>
      </c>
      <c r="D7" s="47" t="s">
        <v>209</v>
      </c>
      <c r="E7" s="47" t="s">
        <v>207</v>
      </c>
      <c r="F7" s="47" t="s">
        <v>207</v>
      </c>
      <c r="G7" s="47" t="s">
        <v>207</v>
      </c>
      <c r="H7" s="47" t="s">
        <v>210</v>
      </c>
      <c r="I7" s="47" t="s">
        <v>220</v>
      </c>
      <c r="J7" s="47"/>
      <c r="K7" s="47"/>
      <c r="L7" s="47"/>
      <c r="M7" s="47" t="s">
        <v>183</v>
      </c>
      <c r="N7" s="47" t="s">
        <v>182</v>
      </c>
      <c r="O7" s="47" t="s">
        <v>181</v>
      </c>
      <c r="P7" s="48" t="s">
        <v>55</v>
      </c>
      <c r="Q7" s="50">
        <v>640000000</v>
      </c>
      <c r="R7" s="50">
        <v>0</v>
      </c>
      <c r="S7" s="50">
        <v>120000000</v>
      </c>
      <c r="T7" s="50">
        <v>520000000</v>
      </c>
      <c r="U7" s="50">
        <v>0</v>
      </c>
      <c r="V7" s="50">
        <v>492354096</v>
      </c>
      <c r="W7" s="50">
        <v>27645904</v>
      </c>
      <c r="X7" s="50">
        <v>492354096</v>
      </c>
      <c r="Y7" s="50">
        <v>492354096</v>
      </c>
      <c r="Z7" s="50">
        <v>492354096</v>
      </c>
      <c r="AA7" s="50">
        <v>492354096</v>
      </c>
      <c r="AD7" s="37">
        <f>+Q7-Diciembre!C12</f>
        <v>0</v>
      </c>
    </row>
    <row r="8" spans="1:30" ht="33.75" x14ac:dyDescent="0.25">
      <c r="A8" s="47" t="s">
        <v>192</v>
      </c>
      <c r="B8" s="48" t="s">
        <v>191</v>
      </c>
      <c r="C8" s="49" t="s">
        <v>56</v>
      </c>
      <c r="D8" s="47" t="s">
        <v>209</v>
      </c>
      <c r="E8" s="47" t="s">
        <v>207</v>
      </c>
      <c r="F8" s="47" t="s">
        <v>207</v>
      </c>
      <c r="G8" s="47" t="s">
        <v>207</v>
      </c>
      <c r="H8" s="47" t="s">
        <v>210</v>
      </c>
      <c r="I8" s="47" t="s">
        <v>219</v>
      </c>
      <c r="J8" s="47"/>
      <c r="K8" s="47"/>
      <c r="L8" s="47"/>
      <c r="M8" s="47" t="s">
        <v>183</v>
      </c>
      <c r="N8" s="47" t="s">
        <v>182</v>
      </c>
      <c r="O8" s="47" t="s">
        <v>181</v>
      </c>
      <c r="P8" s="48" t="s">
        <v>57</v>
      </c>
      <c r="Q8" s="50">
        <v>14000000</v>
      </c>
      <c r="R8" s="50">
        <v>0</v>
      </c>
      <c r="S8" s="50">
        <v>0</v>
      </c>
      <c r="T8" s="50">
        <v>14000000</v>
      </c>
      <c r="U8" s="50">
        <v>0</v>
      </c>
      <c r="V8" s="50">
        <v>13181318</v>
      </c>
      <c r="W8" s="50">
        <v>818682</v>
      </c>
      <c r="X8" s="50">
        <v>13181318</v>
      </c>
      <c r="Y8" s="50">
        <v>13181318</v>
      </c>
      <c r="Z8" s="50">
        <v>13181318</v>
      </c>
      <c r="AA8" s="50">
        <v>13181318</v>
      </c>
      <c r="AD8" s="37">
        <f>+Q8-Diciembre!C13</f>
        <v>0</v>
      </c>
    </row>
    <row r="9" spans="1:30" ht="33.75" x14ac:dyDescent="0.25">
      <c r="A9" s="47" t="s">
        <v>192</v>
      </c>
      <c r="B9" s="48" t="s">
        <v>191</v>
      </c>
      <c r="C9" s="49" t="s">
        <v>58</v>
      </c>
      <c r="D9" s="47" t="s">
        <v>209</v>
      </c>
      <c r="E9" s="47" t="s">
        <v>207</v>
      </c>
      <c r="F9" s="47" t="s">
        <v>207</v>
      </c>
      <c r="G9" s="47" t="s">
        <v>207</v>
      </c>
      <c r="H9" s="47" t="s">
        <v>210</v>
      </c>
      <c r="I9" s="47" t="s">
        <v>222</v>
      </c>
      <c r="J9" s="47"/>
      <c r="K9" s="47"/>
      <c r="L9" s="47"/>
      <c r="M9" s="47" t="s">
        <v>183</v>
      </c>
      <c r="N9" s="47" t="s">
        <v>182</v>
      </c>
      <c r="O9" s="47" t="s">
        <v>181</v>
      </c>
      <c r="P9" s="48" t="s">
        <v>178</v>
      </c>
      <c r="Q9" s="50">
        <v>5000000</v>
      </c>
      <c r="R9" s="50">
        <v>0</v>
      </c>
      <c r="S9" s="50">
        <v>0</v>
      </c>
      <c r="T9" s="50">
        <v>5000000</v>
      </c>
      <c r="U9" s="50">
        <v>0</v>
      </c>
      <c r="V9" s="50">
        <v>0</v>
      </c>
      <c r="W9" s="50">
        <v>5000000</v>
      </c>
      <c r="X9" s="50">
        <v>0</v>
      </c>
      <c r="Y9" s="50">
        <v>0</v>
      </c>
      <c r="Z9" s="50">
        <v>0</v>
      </c>
      <c r="AA9" s="50">
        <v>0</v>
      </c>
      <c r="AD9" s="37">
        <f>+Q9-Diciembre!C14</f>
        <v>0</v>
      </c>
    </row>
    <row r="10" spans="1:30" ht="33.75" x14ac:dyDescent="0.25">
      <c r="A10" s="47" t="s">
        <v>192</v>
      </c>
      <c r="B10" s="48" t="s">
        <v>191</v>
      </c>
      <c r="C10" s="49" t="s">
        <v>59</v>
      </c>
      <c r="D10" s="47" t="s">
        <v>209</v>
      </c>
      <c r="E10" s="47" t="s">
        <v>207</v>
      </c>
      <c r="F10" s="47" t="s">
        <v>207</v>
      </c>
      <c r="G10" s="47" t="s">
        <v>207</v>
      </c>
      <c r="H10" s="47" t="s">
        <v>210</v>
      </c>
      <c r="I10" s="47" t="s">
        <v>206</v>
      </c>
      <c r="J10" s="47"/>
      <c r="K10" s="47"/>
      <c r="L10" s="47"/>
      <c r="M10" s="47" t="s">
        <v>183</v>
      </c>
      <c r="N10" s="47" t="s">
        <v>182</v>
      </c>
      <c r="O10" s="47" t="s">
        <v>181</v>
      </c>
      <c r="P10" s="48" t="s">
        <v>14</v>
      </c>
      <c r="Q10" s="50">
        <v>404000000</v>
      </c>
      <c r="R10" s="50">
        <v>0</v>
      </c>
      <c r="S10" s="50">
        <v>20000000</v>
      </c>
      <c r="T10" s="50">
        <v>384000000</v>
      </c>
      <c r="U10" s="50">
        <v>0</v>
      </c>
      <c r="V10" s="50">
        <v>349325253</v>
      </c>
      <c r="W10" s="50">
        <v>34674747</v>
      </c>
      <c r="X10" s="50">
        <v>349325253</v>
      </c>
      <c r="Y10" s="50">
        <v>349325253</v>
      </c>
      <c r="Z10" s="50">
        <v>349325253</v>
      </c>
      <c r="AA10" s="50">
        <v>349325253</v>
      </c>
      <c r="AD10" s="37">
        <f>+Q10-Diciembre!C15</f>
        <v>0</v>
      </c>
    </row>
    <row r="11" spans="1:30" ht="33.75" x14ac:dyDescent="0.25">
      <c r="A11" s="47" t="s">
        <v>192</v>
      </c>
      <c r="B11" s="48" t="s">
        <v>191</v>
      </c>
      <c r="C11" s="49" t="s">
        <v>60</v>
      </c>
      <c r="D11" s="47" t="s">
        <v>209</v>
      </c>
      <c r="E11" s="47" t="s">
        <v>207</v>
      </c>
      <c r="F11" s="47" t="s">
        <v>207</v>
      </c>
      <c r="G11" s="47" t="s">
        <v>207</v>
      </c>
      <c r="H11" s="47" t="s">
        <v>210</v>
      </c>
      <c r="I11" s="47" t="s">
        <v>218</v>
      </c>
      <c r="J11" s="47"/>
      <c r="K11" s="47"/>
      <c r="L11" s="47"/>
      <c r="M11" s="47" t="s">
        <v>183</v>
      </c>
      <c r="N11" s="47" t="s">
        <v>182</v>
      </c>
      <c r="O11" s="47" t="s">
        <v>181</v>
      </c>
      <c r="P11" s="48" t="s">
        <v>61</v>
      </c>
      <c r="Q11" s="50">
        <v>287000000</v>
      </c>
      <c r="R11" s="50">
        <v>0</v>
      </c>
      <c r="S11" s="50">
        <v>0</v>
      </c>
      <c r="T11" s="50">
        <v>287000000</v>
      </c>
      <c r="U11" s="50">
        <v>0</v>
      </c>
      <c r="V11" s="50">
        <v>248490703</v>
      </c>
      <c r="W11" s="50">
        <v>38509297</v>
      </c>
      <c r="X11" s="50">
        <v>248490703</v>
      </c>
      <c r="Y11" s="50">
        <v>248490703</v>
      </c>
      <c r="Z11" s="50">
        <v>248490703</v>
      </c>
      <c r="AA11" s="50">
        <v>248490703</v>
      </c>
      <c r="AD11" s="37">
        <f>+Q11-Diciembre!C16</f>
        <v>0</v>
      </c>
    </row>
    <row r="12" spans="1:30" ht="33.75" x14ac:dyDescent="0.25">
      <c r="A12" s="47" t="s">
        <v>192</v>
      </c>
      <c r="B12" s="48" t="s">
        <v>191</v>
      </c>
      <c r="C12" s="49" t="s">
        <v>62</v>
      </c>
      <c r="D12" s="47" t="s">
        <v>209</v>
      </c>
      <c r="E12" s="47" t="s">
        <v>207</v>
      </c>
      <c r="F12" s="47" t="s">
        <v>207</v>
      </c>
      <c r="G12" s="47" t="s">
        <v>207</v>
      </c>
      <c r="H12" s="47" t="s">
        <v>210</v>
      </c>
      <c r="I12" s="47" t="s">
        <v>217</v>
      </c>
      <c r="J12" s="47"/>
      <c r="K12" s="47"/>
      <c r="L12" s="47"/>
      <c r="M12" s="47" t="s">
        <v>183</v>
      </c>
      <c r="N12" s="47" t="s">
        <v>182</v>
      </c>
      <c r="O12" s="47" t="s">
        <v>181</v>
      </c>
      <c r="P12" s="48" t="s">
        <v>63</v>
      </c>
      <c r="Q12" s="50">
        <v>60000000</v>
      </c>
      <c r="R12" s="50">
        <v>0</v>
      </c>
      <c r="S12" s="50">
        <v>0</v>
      </c>
      <c r="T12" s="50">
        <v>60000000</v>
      </c>
      <c r="U12" s="50">
        <v>0</v>
      </c>
      <c r="V12" s="50">
        <v>46968291</v>
      </c>
      <c r="W12" s="50">
        <v>13031709</v>
      </c>
      <c r="X12" s="50">
        <v>46968291</v>
      </c>
      <c r="Y12" s="50">
        <v>45715250</v>
      </c>
      <c r="Z12" s="50">
        <v>45715250</v>
      </c>
      <c r="AA12" s="50">
        <v>45715250</v>
      </c>
      <c r="AD12" s="37">
        <f>+Q12-Diciembre!C17</f>
        <v>0</v>
      </c>
    </row>
    <row r="13" spans="1:30" ht="33.75" x14ac:dyDescent="0.25">
      <c r="A13" s="47" t="s">
        <v>192</v>
      </c>
      <c r="B13" s="48" t="s">
        <v>191</v>
      </c>
      <c r="C13" s="49" t="s">
        <v>64</v>
      </c>
      <c r="D13" s="47" t="s">
        <v>209</v>
      </c>
      <c r="E13" s="47" t="s">
        <v>207</v>
      </c>
      <c r="F13" s="47" t="s">
        <v>207</v>
      </c>
      <c r="G13" s="47" t="s">
        <v>207</v>
      </c>
      <c r="H13" s="47" t="s">
        <v>210</v>
      </c>
      <c r="I13" s="47" t="s">
        <v>216</v>
      </c>
      <c r="J13" s="47"/>
      <c r="K13" s="47"/>
      <c r="L13" s="47"/>
      <c r="M13" s="47" t="s">
        <v>183</v>
      </c>
      <c r="N13" s="47" t="s">
        <v>182</v>
      </c>
      <c r="O13" s="47" t="s">
        <v>181</v>
      </c>
      <c r="P13" s="48" t="s">
        <v>16</v>
      </c>
      <c r="Q13" s="50">
        <v>850000000</v>
      </c>
      <c r="R13" s="50">
        <v>0</v>
      </c>
      <c r="S13" s="50">
        <v>20000000</v>
      </c>
      <c r="T13" s="50">
        <v>830000000</v>
      </c>
      <c r="U13" s="50">
        <v>0</v>
      </c>
      <c r="V13" s="50">
        <v>814791170</v>
      </c>
      <c r="W13" s="50">
        <v>15208830</v>
      </c>
      <c r="X13" s="50">
        <v>814791170</v>
      </c>
      <c r="Y13" s="50">
        <v>814791170</v>
      </c>
      <c r="Z13" s="50">
        <v>814791170</v>
      </c>
      <c r="AA13" s="50">
        <v>814791170</v>
      </c>
      <c r="AD13" s="37">
        <f>+Q13-Diciembre!C18</f>
        <v>0</v>
      </c>
    </row>
    <row r="14" spans="1:30" ht="33.75" x14ac:dyDescent="0.25">
      <c r="A14" s="47" t="s">
        <v>192</v>
      </c>
      <c r="B14" s="48" t="s">
        <v>191</v>
      </c>
      <c r="C14" s="49" t="s">
        <v>65</v>
      </c>
      <c r="D14" s="47" t="s">
        <v>209</v>
      </c>
      <c r="E14" s="47" t="s">
        <v>207</v>
      </c>
      <c r="F14" s="47" t="s">
        <v>207</v>
      </c>
      <c r="G14" s="47" t="s">
        <v>207</v>
      </c>
      <c r="H14" s="47" t="s">
        <v>210</v>
      </c>
      <c r="I14" s="47" t="s">
        <v>215</v>
      </c>
      <c r="J14" s="47"/>
      <c r="K14" s="47"/>
      <c r="L14" s="47"/>
      <c r="M14" s="47" t="s">
        <v>183</v>
      </c>
      <c r="N14" s="47" t="s">
        <v>182</v>
      </c>
      <c r="O14" s="47" t="s">
        <v>181</v>
      </c>
      <c r="P14" s="48" t="s">
        <v>15</v>
      </c>
      <c r="Q14" s="50">
        <v>487261000</v>
      </c>
      <c r="R14" s="50">
        <v>0</v>
      </c>
      <c r="S14" s="50">
        <v>100000000</v>
      </c>
      <c r="T14" s="50">
        <v>387261000</v>
      </c>
      <c r="U14" s="50">
        <v>0</v>
      </c>
      <c r="V14" s="50">
        <v>339533524</v>
      </c>
      <c r="W14" s="50">
        <v>47727476</v>
      </c>
      <c r="X14" s="50">
        <v>339533524</v>
      </c>
      <c r="Y14" s="50">
        <v>334497965</v>
      </c>
      <c r="Z14" s="50">
        <v>334497965</v>
      </c>
      <c r="AA14" s="50">
        <v>334497965</v>
      </c>
      <c r="AD14" s="37">
        <f>+Q14-Diciembre!C19</f>
        <v>0</v>
      </c>
    </row>
    <row r="15" spans="1:30" ht="33.75" x14ac:dyDescent="0.25">
      <c r="A15" s="47" t="s">
        <v>192</v>
      </c>
      <c r="B15" s="48" t="s">
        <v>191</v>
      </c>
      <c r="C15" s="49" t="s">
        <v>68</v>
      </c>
      <c r="D15" s="47" t="s">
        <v>209</v>
      </c>
      <c r="E15" s="47" t="s">
        <v>207</v>
      </c>
      <c r="F15" s="47" t="s">
        <v>207</v>
      </c>
      <c r="G15" s="47" t="s">
        <v>184</v>
      </c>
      <c r="H15" s="47" t="s">
        <v>210</v>
      </c>
      <c r="I15" s="47"/>
      <c r="J15" s="47"/>
      <c r="K15" s="47"/>
      <c r="L15" s="47"/>
      <c r="M15" s="47" t="s">
        <v>183</v>
      </c>
      <c r="N15" s="47" t="s">
        <v>182</v>
      </c>
      <c r="O15" s="47" t="s">
        <v>181</v>
      </c>
      <c r="P15" s="48" t="s">
        <v>69</v>
      </c>
      <c r="Q15" s="50">
        <v>1200666000</v>
      </c>
      <c r="R15" s="50">
        <v>14000000</v>
      </c>
      <c r="S15" s="50">
        <v>110000000</v>
      </c>
      <c r="T15" s="50">
        <v>1104666000</v>
      </c>
      <c r="U15" s="50">
        <v>0</v>
      </c>
      <c r="V15" s="50">
        <v>1096570512</v>
      </c>
      <c r="W15" s="50">
        <v>8095488</v>
      </c>
      <c r="X15" s="50">
        <v>1096570512</v>
      </c>
      <c r="Y15" s="50">
        <v>1096570512</v>
      </c>
      <c r="Z15" s="50">
        <v>1096570512</v>
      </c>
      <c r="AA15" s="50">
        <v>1096570512</v>
      </c>
      <c r="AD15" s="37">
        <f>+Q15-Diciembre!C21</f>
        <v>0</v>
      </c>
    </row>
    <row r="16" spans="1:30" ht="33.75" x14ac:dyDescent="0.25">
      <c r="A16" s="47" t="s">
        <v>192</v>
      </c>
      <c r="B16" s="48" t="s">
        <v>191</v>
      </c>
      <c r="C16" s="49" t="s">
        <v>70</v>
      </c>
      <c r="D16" s="47" t="s">
        <v>209</v>
      </c>
      <c r="E16" s="47" t="s">
        <v>207</v>
      </c>
      <c r="F16" s="47" t="s">
        <v>207</v>
      </c>
      <c r="G16" s="47" t="s">
        <v>184</v>
      </c>
      <c r="H16" s="47" t="s">
        <v>211</v>
      </c>
      <c r="I16" s="47"/>
      <c r="J16" s="47"/>
      <c r="K16" s="47"/>
      <c r="L16" s="47"/>
      <c r="M16" s="47" t="s">
        <v>183</v>
      </c>
      <c r="N16" s="47" t="s">
        <v>182</v>
      </c>
      <c r="O16" s="47" t="s">
        <v>181</v>
      </c>
      <c r="P16" s="48" t="s">
        <v>71</v>
      </c>
      <c r="Q16" s="50">
        <v>780000000</v>
      </c>
      <c r="R16" s="50">
        <v>5000000</v>
      </c>
      <c r="S16" s="50">
        <v>0</v>
      </c>
      <c r="T16" s="50">
        <v>785000000</v>
      </c>
      <c r="U16" s="50">
        <v>0</v>
      </c>
      <c r="V16" s="50">
        <v>776775526</v>
      </c>
      <c r="W16" s="50">
        <v>8224474</v>
      </c>
      <c r="X16" s="50">
        <v>776775526</v>
      </c>
      <c r="Y16" s="50">
        <v>776775526</v>
      </c>
      <c r="Z16" s="50">
        <v>776775526</v>
      </c>
      <c r="AA16" s="50">
        <v>776775526</v>
      </c>
      <c r="AD16" s="37">
        <f>+Q16-Diciembre!C22</f>
        <v>0</v>
      </c>
    </row>
    <row r="17" spans="1:30" ht="33.75" x14ac:dyDescent="0.25">
      <c r="A17" s="47" t="s">
        <v>192</v>
      </c>
      <c r="B17" s="48" t="s">
        <v>191</v>
      </c>
      <c r="C17" s="49" t="s">
        <v>72</v>
      </c>
      <c r="D17" s="47" t="s">
        <v>209</v>
      </c>
      <c r="E17" s="47" t="s">
        <v>207</v>
      </c>
      <c r="F17" s="47" t="s">
        <v>207</v>
      </c>
      <c r="G17" s="47" t="s">
        <v>184</v>
      </c>
      <c r="H17" s="47" t="s">
        <v>220</v>
      </c>
      <c r="I17" s="47"/>
      <c r="J17" s="47"/>
      <c r="K17" s="47"/>
      <c r="L17" s="47"/>
      <c r="M17" s="47" t="s">
        <v>183</v>
      </c>
      <c r="N17" s="47" t="s">
        <v>182</v>
      </c>
      <c r="O17" s="47" t="s">
        <v>181</v>
      </c>
      <c r="P17" s="48" t="s">
        <v>264</v>
      </c>
      <c r="Q17" s="50">
        <v>920000000</v>
      </c>
      <c r="R17" s="50">
        <v>0</v>
      </c>
      <c r="S17" s="50">
        <v>50000000</v>
      </c>
      <c r="T17" s="50">
        <v>870000000</v>
      </c>
      <c r="U17" s="50">
        <v>0</v>
      </c>
      <c r="V17" s="50">
        <v>865042510</v>
      </c>
      <c r="W17" s="50">
        <v>4957490</v>
      </c>
      <c r="X17" s="50">
        <v>865042510</v>
      </c>
      <c r="Y17" s="50">
        <v>865042510</v>
      </c>
      <c r="Z17" s="50">
        <v>865042510</v>
      </c>
      <c r="AA17" s="50">
        <v>865042510</v>
      </c>
      <c r="AD17" s="37">
        <f>+Q17-Diciembre!C23</f>
        <v>0</v>
      </c>
    </row>
    <row r="18" spans="1:30" ht="33.75" x14ac:dyDescent="0.25">
      <c r="A18" s="47" t="s">
        <v>192</v>
      </c>
      <c r="B18" s="48" t="s">
        <v>191</v>
      </c>
      <c r="C18" s="49" t="s">
        <v>74</v>
      </c>
      <c r="D18" s="47" t="s">
        <v>209</v>
      </c>
      <c r="E18" s="47" t="s">
        <v>207</v>
      </c>
      <c r="F18" s="47" t="s">
        <v>207</v>
      </c>
      <c r="G18" s="47" t="s">
        <v>184</v>
      </c>
      <c r="H18" s="47" t="s">
        <v>219</v>
      </c>
      <c r="I18" s="47"/>
      <c r="J18" s="47"/>
      <c r="K18" s="47"/>
      <c r="L18" s="47"/>
      <c r="M18" s="47" t="s">
        <v>183</v>
      </c>
      <c r="N18" s="47" t="s">
        <v>182</v>
      </c>
      <c r="O18" s="47" t="s">
        <v>181</v>
      </c>
      <c r="P18" s="48" t="s">
        <v>75</v>
      </c>
      <c r="Q18" s="50">
        <v>420000000</v>
      </c>
      <c r="R18" s="50">
        <v>15000000</v>
      </c>
      <c r="S18" s="50">
        <v>20000000</v>
      </c>
      <c r="T18" s="50">
        <v>415000000</v>
      </c>
      <c r="U18" s="50">
        <v>0</v>
      </c>
      <c r="V18" s="50">
        <v>407386000</v>
      </c>
      <c r="W18" s="50">
        <v>7614000</v>
      </c>
      <c r="X18" s="50">
        <v>407386000</v>
      </c>
      <c r="Y18" s="50">
        <v>407386000</v>
      </c>
      <c r="Z18" s="50">
        <v>407386000</v>
      </c>
      <c r="AA18" s="50">
        <v>407386000</v>
      </c>
      <c r="AD18" s="37">
        <f>+Q18-Diciembre!C24</f>
        <v>0</v>
      </c>
    </row>
    <row r="19" spans="1:30" ht="33.75" x14ac:dyDescent="0.25">
      <c r="A19" s="47" t="s">
        <v>192</v>
      </c>
      <c r="B19" s="48" t="s">
        <v>191</v>
      </c>
      <c r="C19" s="49" t="s">
        <v>76</v>
      </c>
      <c r="D19" s="47" t="s">
        <v>209</v>
      </c>
      <c r="E19" s="47" t="s">
        <v>207</v>
      </c>
      <c r="F19" s="47" t="s">
        <v>207</v>
      </c>
      <c r="G19" s="47" t="s">
        <v>184</v>
      </c>
      <c r="H19" s="47" t="s">
        <v>222</v>
      </c>
      <c r="I19" s="47"/>
      <c r="J19" s="47"/>
      <c r="K19" s="47"/>
      <c r="L19" s="47"/>
      <c r="M19" s="47" t="s">
        <v>183</v>
      </c>
      <c r="N19" s="47" t="s">
        <v>182</v>
      </c>
      <c r="O19" s="47" t="s">
        <v>181</v>
      </c>
      <c r="P19" s="48" t="s">
        <v>77</v>
      </c>
      <c r="Q19" s="50">
        <v>70000000</v>
      </c>
      <c r="R19" s="50">
        <v>0</v>
      </c>
      <c r="S19" s="50">
        <v>10000000</v>
      </c>
      <c r="T19" s="50">
        <v>60000000</v>
      </c>
      <c r="U19" s="50">
        <v>0</v>
      </c>
      <c r="V19" s="50">
        <v>50755200</v>
      </c>
      <c r="W19" s="50">
        <v>9244800</v>
      </c>
      <c r="X19" s="50">
        <v>50755200</v>
      </c>
      <c r="Y19" s="50">
        <v>50755200</v>
      </c>
      <c r="Z19" s="50">
        <v>50755200</v>
      </c>
      <c r="AA19" s="50">
        <v>50755200</v>
      </c>
      <c r="AD19" s="37">
        <f>+Q19-Diciembre!C25</f>
        <v>0</v>
      </c>
    </row>
    <row r="20" spans="1:30" ht="33.75" x14ac:dyDescent="0.25">
      <c r="A20" s="47" t="s">
        <v>192</v>
      </c>
      <c r="B20" s="48" t="s">
        <v>191</v>
      </c>
      <c r="C20" s="49" t="s">
        <v>78</v>
      </c>
      <c r="D20" s="47" t="s">
        <v>209</v>
      </c>
      <c r="E20" s="47" t="s">
        <v>207</v>
      </c>
      <c r="F20" s="47" t="s">
        <v>207</v>
      </c>
      <c r="G20" s="47" t="s">
        <v>184</v>
      </c>
      <c r="H20" s="47" t="s">
        <v>206</v>
      </c>
      <c r="I20" s="47"/>
      <c r="J20" s="47"/>
      <c r="K20" s="47"/>
      <c r="L20" s="47"/>
      <c r="M20" s="47" t="s">
        <v>183</v>
      </c>
      <c r="N20" s="47" t="s">
        <v>182</v>
      </c>
      <c r="O20" s="47" t="s">
        <v>181</v>
      </c>
      <c r="P20" s="48" t="s">
        <v>17</v>
      </c>
      <c r="Q20" s="50">
        <v>320000000</v>
      </c>
      <c r="R20" s="50">
        <v>12000000</v>
      </c>
      <c r="S20" s="50">
        <v>20000000</v>
      </c>
      <c r="T20" s="50">
        <v>312000000</v>
      </c>
      <c r="U20" s="50">
        <v>0</v>
      </c>
      <c r="V20" s="50">
        <v>305543500</v>
      </c>
      <c r="W20" s="50">
        <v>6456500</v>
      </c>
      <c r="X20" s="50">
        <v>305543500</v>
      </c>
      <c r="Y20" s="50">
        <v>305543500</v>
      </c>
      <c r="Z20" s="50">
        <v>305543500</v>
      </c>
      <c r="AA20" s="50">
        <v>305543500</v>
      </c>
      <c r="AD20" s="37">
        <f>+Q20-Diciembre!C26</f>
        <v>0</v>
      </c>
    </row>
    <row r="21" spans="1:30" ht="33.75" x14ac:dyDescent="0.25">
      <c r="A21" s="47" t="s">
        <v>192</v>
      </c>
      <c r="B21" s="48" t="s">
        <v>191</v>
      </c>
      <c r="C21" s="49" t="s">
        <v>79</v>
      </c>
      <c r="D21" s="47" t="s">
        <v>209</v>
      </c>
      <c r="E21" s="47" t="s">
        <v>207</v>
      </c>
      <c r="F21" s="47" t="s">
        <v>207</v>
      </c>
      <c r="G21" s="47" t="s">
        <v>184</v>
      </c>
      <c r="H21" s="47" t="s">
        <v>218</v>
      </c>
      <c r="I21" s="47"/>
      <c r="J21" s="47"/>
      <c r="K21" s="47"/>
      <c r="L21" s="47"/>
      <c r="M21" s="47" t="s">
        <v>183</v>
      </c>
      <c r="N21" s="47" t="s">
        <v>182</v>
      </c>
      <c r="O21" s="47" t="s">
        <v>181</v>
      </c>
      <c r="P21" s="48" t="s">
        <v>18</v>
      </c>
      <c r="Q21" s="50">
        <v>70000000</v>
      </c>
      <c r="R21" s="50">
        <v>0</v>
      </c>
      <c r="S21" s="50">
        <v>12000000</v>
      </c>
      <c r="T21" s="50">
        <v>58000000</v>
      </c>
      <c r="U21" s="50">
        <v>0</v>
      </c>
      <c r="V21" s="50">
        <v>51017300</v>
      </c>
      <c r="W21" s="50">
        <v>6982700</v>
      </c>
      <c r="X21" s="50">
        <v>51017300</v>
      </c>
      <c r="Y21" s="50">
        <v>51017300</v>
      </c>
      <c r="Z21" s="50">
        <v>51017300</v>
      </c>
      <c r="AA21" s="50">
        <v>51017300</v>
      </c>
      <c r="AD21" s="37">
        <f>+Q21-Diciembre!C27</f>
        <v>0</v>
      </c>
    </row>
    <row r="22" spans="1:30" ht="33.75" x14ac:dyDescent="0.25">
      <c r="A22" s="47" t="s">
        <v>192</v>
      </c>
      <c r="B22" s="48" t="s">
        <v>191</v>
      </c>
      <c r="C22" s="49" t="s">
        <v>80</v>
      </c>
      <c r="D22" s="47" t="s">
        <v>209</v>
      </c>
      <c r="E22" s="47" t="s">
        <v>207</v>
      </c>
      <c r="F22" s="47" t="s">
        <v>207</v>
      </c>
      <c r="G22" s="47" t="s">
        <v>184</v>
      </c>
      <c r="H22" s="47" t="s">
        <v>217</v>
      </c>
      <c r="I22" s="47"/>
      <c r="J22" s="47"/>
      <c r="K22" s="47"/>
      <c r="L22" s="47"/>
      <c r="M22" s="47" t="s">
        <v>183</v>
      </c>
      <c r="N22" s="47" t="s">
        <v>182</v>
      </c>
      <c r="O22" s="47" t="s">
        <v>181</v>
      </c>
      <c r="P22" s="48" t="s">
        <v>19</v>
      </c>
      <c r="Q22" s="50">
        <v>70000000</v>
      </c>
      <c r="R22" s="50">
        <v>0</v>
      </c>
      <c r="S22" s="50">
        <v>12000000</v>
      </c>
      <c r="T22" s="50">
        <v>58000000</v>
      </c>
      <c r="U22" s="50">
        <v>0</v>
      </c>
      <c r="V22" s="50">
        <v>51017300</v>
      </c>
      <c r="W22" s="50">
        <v>6982700</v>
      </c>
      <c r="X22" s="50">
        <v>51017300</v>
      </c>
      <c r="Y22" s="50">
        <v>51017300</v>
      </c>
      <c r="Z22" s="50">
        <v>51017300</v>
      </c>
      <c r="AA22" s="50">
        <v>51017300</v>
      </c>
      <c r="AD22" s="37">
        <f>+Q22-Diciembre!C28</f>
        <v>0</v>
      </c>
    </row>
    <row r="23" spans="1:30" ht="33.75" x14ac:dyDescent="0.25">
      <c r="A23" s="47" t="s">
        <v>192</v>
      </c>
      <c r="B23" s="48" t="s">
        <v>191</v>
      </c>
      <c r="C23" s="49" t="s">
        <v>81</v>
      </c>
      <c r="D23" s="47" t="s">
        <v>209</v>
      </c>
      <c r="E23" s="47" t="s">
        <v>207</v>
      </c>
      <c r="F23" s="47" t="s">
        <v>207</v>
      </c>
      <c r="G23" s="47" t="s">
        <v>184</v>
      </c>
      <c r="H23" s="47" t="s">
        <v>216</v>
      </c>
      <c r="I23" s="47"/>
      <c r="J23" s="47"/>
      <c r="K23" s="47"/>
      <c r="L23" s="47"/>
      <c r="M23" s="47" t="s">
        <v>183</v>
      </c>
      <c r="N23" s="47" t="s">
        <v>182</v>
      </c>
      <c r="O23" s="47" t="s">
        <v>181</v>
      </c>
      <c r="P23" s="48" t="s">
        <v>82</v>
      </c>
      <c r="Q23" s="50">
        <v>120000000</v>
      </c>
      <c r="R23" s="50">
        <v>0</v>
      </c>
      <c r="S23" s="50">
        <v>12000000</v>
      </c>
      <c r="T23" s="50">
        <v>108000000</v>
      </c>
      <c r="U23" s="50">
        <v>0</v>
      </c>
      <c r="V23" s="50">
        <v>101931400</v>
      </c>
      <c r="W23" s="50">
        <v>6068600</v>
      </c>
      <c r="X23" s="50">
        <v>101931400</v>
      </c>
      <c r="Y23" s="50">
        <v>101931400</v>
      </c>
      <c r="Z23" s="50">
        <v>101931400</v>
      </c>
      <c r="AA23" s="50">
        <v>101931400</v>
      </c>
      <c r="AD23" s="37">
        <f>+Q23-Diciembre!C29</f>
        <v>0</v>
      </c>
    </row>
    <row r="24" spans="1:30" ht="33.75" x14ac:dyDescent="0.25">
      <c r="A24" s="47" t="s">
        <v>192</v>
      </c>
      <c r="B24" s="48" t="s">
        <v>191</v>
      </c>
      <c r="C24" s="49" t="s">
        <v>85</v>
      </c>
      <c r="D24" s="47" t="s">
        <v>209</v>
      </c>
      <c r="E24" s="47" t="s">
        <v>207</v>
      </c>
      <c r="F24" s="47" t="s">
        <v>207</v>
      </c>
      <c r="G24" s="47" t="s">
        <v>214</v>
      </c>
      <c r="H24" s="47" t="s">
        <v>210</v>
      </c>
      <c r="I24" s="47" t="s">
        <v>210</v>
      </c>
      <c r="J24" s="47"/>
      <c r="K24" s="47"/>
      <c r="L24" s="47"/>
      <c r="M24" s="47" t="s">
        <v>183</v>
      </c>
      <c r="N24" s="47" t="s">
        <v>182</v>
      </c>
      <c r="O24" s="47" t="s">
        <v>181</v>
      </c>
      <c r="P24" s="48" t="s">
        <v>86</v>
      </c>
      <c r="Q24" s="50">
        <v>294262800</v>
      </c>
      <c r="R24" s="50">
        <v>236000000</v>
      </c>
      <c r="S24" s="50">
        <v>44000000</v>
      </c>
      <c r="T24" s="50">
        <v>486262800</v>
      </c>
      <c r="U24" s="50">
        <v>0</v>
      </c>
      <c r="V24" s="50">
        <v>449443370</v>
      </c>
      <c r="W24" s="50">
        <v>36819430</v>
      </c>
      <c r="X24" s="50">
        <v>449443370</v>
      </c>
      <c r="Y24" s="50">
        <v>442729291</v>
      </c>
      <c r="Z24" s="50">
        <v>442729291</v>
      </c>
      <c r="AA24" s="50">
        <v>442729291</v>
      </c>
      <c r="AD24" s="37">
        <f>+Q24-Diciembre!C31</f>
        <v>0</v>
      </c>
    </row>
    <row r="25" spans="1:30" ht="33.75" x14ac:dyDescent="0.25">
      <c r="A25" s="47" t="s">
        <v>192</v>
      </c>
      <c r="B25" s="48" t="s">
        <v>191</v>
      </c>
      <c r="C25" s="49" t="s">
        <v>87</v>
      </c>
      <c r="D25" s="47" t="s">
        <v>209</v>
      </c>
      <c r="E25" s="47" t="s">
        <v>207</v>
      </c>
      <c r="F25" s="47" t="s">
        <v>207</v>
      </c>
      <c r="G25" s="47" t="s">
        <v>214</v>
      </c>
      <c r="H25" s="47" t="s">
        <v>210</v>
      </c>
      <c r="I25" s="47" t="s">
        <v>211</v>
      </c>
      <c r="J25" s="47"/>
      <c r="K25" s="47"/>
      <c r="L25" s="47"/>
      <c r="M25" s="47" t="s">
        <v>183</v>
      </c>
      <c r="N25" s="47" t="s">
        <v>182</v>
      </c>
      <c r="O25" s="47" t="s">
        <v>181</v>
      </c>
      <c r="P25" s="48" t="s">
        <v>88</v>
      </c>
      <c r="Q25" s="50">
        <v>60000000</v>
      </c>
      <c r="R25" s="50">
        <v>61000000</v>
      </c>
      <c r="S25" s="50">
        <v>8000000</v>
      </c>
      <c r="T25" s="50">
        <v>113000000</v>
      </c>
      <c r="U25" s="50">
        <v>0</v>
      </c>
      <c r="V25" s="50">
        <v>88169672</v>
      </c>
      <c r="W25" s="50">
        <v>24830328</v>
      </c>
      <c r="X25" s="50">
        <v>88169672</v>
      </c>
      <c r="Y25" s="50">
        <v>88169672</v>
      </c>
      <c r="Z25" s="50">
        <v>88169672</v>
      </c>
      <c r="AA25" s="50">
        <v>88169672</v>
      </c>
      <c r="AD25" s="37">
        <f>+Q25-Diciembre!C32</f>
        <v>0</v>
      </c>
    </row>
    <row r="26" spans="1:30" ht="33.75" x14ac:dyDescent="0.25">
      <c r="A26" s="47" t="s">
        <v>192</v>
      </c>
      <c r="B26" s="48" t="s">
        <v>191</v>
      </c>
      <c r="C26" s="49" t="s">
        <v>89</v>
      </c>
      <c r="D26" s="47" t="s">
        <v>209</v>
      </c>
      <c r="E26" s="47" t="s">
        <v>207</v>
      </c>
      <c r="F26" s="47" t="s">
        <v>207</v>
      </c>
      <c r="G26" s="47" t="s">
        <v>214</v>
      </c>
      <c r="H26" s="47" t="s">
        <v>210</v>
      </c>
      <c r="I26" s="47" t="s">
        <v>220</v>
      </c>
      <c r="J26" s="47"/>
      <c r="K26" s="47"/>
      <c r="L26" s="47"/>
      <c r="M26" s="47" t="s">
        <v>183</v>
      </c>
      <c r="N26" s="47" t="s">
        <v>182</v>
      </c>
      <c r="O26" s="47" t="s">
        <v>181</v>
      </c>
      <c r="P26" s="48" t="s">
        <v>90</v>
      </c>
      <c r="Q26" s="50">
        <v>47548800</v>
      </c>
      <c r="R26" s="50">
        <v>20000000</v>
      </c>
      <c r="S26" s="50">
        <v>20000000</v>
      </c>
      <c r="T26" s="50">
        <v>47548800</v>
      </c>
      <c r="U26" s="50">
        <v>0</v>
      </c>
      <c r="V26" s="50">
        <v>39818255</v>
      </c>
      <c r="W26" s="50">
        <v>7730545</v>
      </c>
      <c r="X26" s="50">
        <v>39818255</v>
      </c>
      <c r="Y26" s="50">
        <v>39400732</v>
      </c>
      <c r="Z26" s="50">
        <v>39400732</v>
      </c>
      <c r="AA26" s="50">
        <v>39400732</v>
      </c>
      <c r="AD26" s="37">
        <f>+Q26-Diciembre!C33</f>
        <v>0</v>
      </c>
    </row>
    <row r="27" spans="1:30" ht="33.75" x14ac:dyDescent="0.25">
      <c r="A27" s="47" t="s">
        <v>192</v>
      </c>
      <c r="B27" s="48" t="s">
        <v>191</v>
      </c>
      <c r="C27" s="49" t="s">
        <v>91</v>
      </c>
      <c r="D27" s="47" t="s">
        <v>209</v>
      </c>
      <c r="E27" s="47" t="s">
        <v>207</v>
      </c>
      <c r="F27" s="47" t="s">
        <v>207</v>
      </c>
      <c r="G27" s="47" t="s">
        <v>214</v>
      </c>
      <c r="H27" s="47" t="s">
        <v>211</v>
      </c>
      <c r="I27" s="47"/>
      <c r="J27" s="47"/>
      <c r="K27" s="47"/>
      <c r="L27" s="47"/>
      <c r="M27" s="47" t="s">
        <v>183</v>
      </c>
      <c r="N27" s="47" t="s">
        <v>182</v>
      </c>
      <c r="O27" s="47" t="s">
        <v>181</v>
      </c>
      <c r="P27" s="48" t="s">
        <v>92</v>
      </c>
      <c r="Q27" s="50">
        <v>153946400</v>
      </c>
      <c r="R27" s="50">
        <v>180000000</v>
      </c>
      <c r="S27" s="50">
        <v>15000000</v>
      </c>
      <c r="T27" s="50">
        <v>318946400</v>
      </c>
      <c r="U27" s="50">
        <v>0</v>
      </c>
      <c r="V27" s="50">
        <v>313565647</v>
      </c>
      <c r="W27" s="50">
        <v>5380753</v>
      </c>
      <c r="X27" s="50">
        <v>313565647</v>
      </c>
      <c r="Y27" s="50">
        <v>313565647</v>
      </c>
      <c r="Z27" s="50">
        <v>313565647</v>
      </c>
      <c r="AA27" s="50">
        <v>313565647</v>
      </c>
      <c r="AD27" s="37">
        <f>+Q27-Diciembre!C34</f>
        <v>0</v>
      </c>
    </row>
    <row r="28" spans="1:30" ht="33.75" x14ac:dyDescent="0.25">
      <c r="A28" s="47" t="s">
        <v>192</v>
      </c>
      <c r="B28" s="48" t="s">
        <v>191</v>
      </c>
      <c r="C28" s="49" t="s">
        <v>93</v>
      </c>
      <c r="D28" s="47" t="s">
        <v>209</v>
      </c>
      <c r="E28" s="47" t="s">
        <v>207</v>
      </c>
      <c r="F28" s="47" t="s">
        <v>207</v>
      </c>
      <c r="G28" s="47" t="s">
        <v>214</v>
      </c>
      <c r="H28" s="47" t="s">
        <v>221</v>
      </c>
      <c r="I28" s="47"/>
      <c r="J28" s="47"/>
      <c r="K28" s="47"/>
      <c r="L28" s="47"/>
      <c r="M28" s="47" t="s">
        <v>183</v>
      </c>
      <c r="N28" s="47" t="s">
        <v>182</v>
      </c>
      <c r="O28" s="47" t="s">
        <v>181</v>
      </c>
      <c r="P28" s="48" t="s">
        <v>94</v>
      </c>
      <c r="Q28" s="50">
        <v>143000000</v>
      </c>
      <c r="R28" s="50">
        <v>10000000</v>
      </c>
      <c r="S28" s="50">
        <v>80000000</v>
      </c>
      <c r="T28" s="50">
        <v>73000000</v>
      </c>
      <c r="U28" s="50">
        <v>0</v>
      </c>
      <c r="V28" s="50">
        <v>69609253</v>
      </c>
      <c r="W28" s="50">
        <v>3390747</v>
      </c>
      <c r="X28" s="50">
        <v>69609253</v>
      </c>
      <c r="Y28" s="50">
        <v>69609253</v>
      </c>
      <c r="Z28" s="50">
        <v>69609253</v>
      </c>
      <c r="AA28" s="50">
        <v>69609253</v>
      </c>
      <c r="AD28" s="37">
        <f>+Q28-Diciembre!C35</f>
        <v>0</v>
      </c>
    </row>
    <row r="29" spans="1:30" ht="33.75" x14ac:dyDescent="0.25">
      <c r="A29" s="47" t="s">
        <v>192</v>
      </c>
      <c r="B29" s="48" t="s">
        <v>191</v>
      </c>
      <c r="C29" s="49" t="s">
        <v>101</v>
      </c>
      <c r="D29" s="47" t="s">
        <v>209</v>
      </c>
      <c r="E29" s="47" t="s">
        <v>184</v>
      </c>
      <c r="F29" s="47" t="s">
        <v>207</v>
      </c>
      <c r="G29" s="47" t="s">
        <v>207</v>
      </c>
      <c r="H29" s="47" t="s">
        <v>219</v>
      </c>
      <c r="I29" s="47"/>
      <c r="J29" s="47"/>
      <c r="K29" s="47"/>
      <c r="L29" s="47"/>
      <c r="M29" s="47" t="s">
        <v>183</v>
      </c>
      <c r="N29" s="47" t="s">
        <v>182</v>
      </c>
      <c r="O29" s="47" t="s">
        <v>181</v>
      </c>
      <c r="P29" s="48" t="s">
        <v>103</v>
      </c>
      <c r="Q29" s="50">
        <v>40000000</v>
      </c>
      <c r="R29" s="50">
        <v>12856600</v>
      </c>
      <c r="S29" s="50">
        <v>0</v>
      </c>
      <c r="T29" s="50">
        <v>52856600</v>
      </c>
      <c r="U29" s="50">
        <v>0</v>
      </c>
      <c r="V29" s="50">
        <v>32638417.120000001</v>
      </c>
      <c r="W29" s="50">
        <v>20218182.879999999</v>
      </c>
      <c r="X29" s="50">
        <v>32638417.120000001</v>
      </c>
      <c r="Y29" s="50">
        <v>32638417.120000001</v>
      </c>
      <c r="Z29" s="50">
        <v>32638417.120000001</v>
      </c>
      <c r="AA29" s="50">
        <v>32638417.120000001</v>
      </c>
      <c r="AD29" s="37">
        <f>+Q29-Diciembre!C41</f>
        <v>0</v>
      </c>
    </row>
    <row r="30" spans="1:30" ht="33.75" x14ac:dyDescent="0.25">
      <c r="A30" s="47" t="s">
        <v>192</v>
      </c>
      <c r="B30" s="48" t="s">
        <v>191</v>
      </c>
      <c r="C30" s="49" t="s">
        <v>102</v>
      </c>
      <c r="D30" s="47" t="s">
        <v>209</v>
      </c>
      <c r="E30" s="47" t="s">
        <v>184</v>
      </c>
      <c r="F30" s="47" t="s">
        <v>207</v>
      </c>
      <c r="G30" s="47" t="s">
        <v>207</v>
      </c>
      <c r="H30" s="47" t="s">
        <v>206</v>
      </c>
      <c r="I30" s="47"/>
      <c r="J30" s="47"/>
      <c r="K30" s="47"/>
      <c r="L30" s="47"/>
      <c r="M30" s="47" t="s">
        <v>183</v>
      </c>
      <c r="N30" s="47" t="s">
        <v>182</v>
      </c>
      <c r="O30" s="47" t="s">
        <v>181</v>
      </c>
      <c r="P30" s="48" t="s">
        <v>104</v>
      </c>
      <c r="Q30" s="50">
        <v>95000000</v>
      </c>
      <c r="R30" s="50">
        <v>0</v>
      </c>
      <c r="S30" s="50">
        <v>14914600</v>
      </c>
      <c r="T30" s="50">
        <v>80085400</v>
      </c>
      <c r="U30" s="50">
        <v>0</v>
      </c>
      <c r="V30" s="50">
        <v>77303818.5</v>
      </c>
      <c r="W30" s="50">
        <v>2781581.5</v>
      </c>
      <c r="X30" s="50">
        <v>77303818.5</v>
      </c>
      <c r="Y30" s="50">
        <v>77303818.5</v>
      </c>
      <c r="Z30" s="50">
        <v>77303818.5</v>
      </c>
      <c r="AA30" s="50">
        <v>77303818.5</v>
      </c>
      <c r="AD30" s="37">
        <f>+Q30-Diciembre!C42</f>
        <v>0</v>
      </c>
    </row>
    <row r="31" spans="1:30" ht="45" x14ac:dyDescent="0.25">
      <c r="A31" s="47" t="s">
        <v>192</v>
      </c>
      <c r="B31" s="48" t="s">
        <v>191</v>
      </c>
      <c r="C31" s="49" t="s">
        <v>109</v>
      </c>
      <c r="D31" s="47" t="s">
        <v>209</v>
      </c>
      <c r="E31" s="47" t="s">
        <v>184</v>
      </c>
      <c r="F31" s="47" t="s">
        <v>184</v>
      </c>
      <c r="G31" s="47" t="s">
        <v>207</v>
      </c>
      <c r="H31" s="47" t="s">
        <v>211</v>
      </c>
      <c r="I31" s="47"/>
      <c r="J31" s="47"/>
      <c r="K31" s="47"/>
      <c r="L31" s="47"/>
      <c r="M31" s="47" t="s">
        <v>183</v>
      </c>
      <c r="N31" s="47" t="s">
        <v>182</v>
      </c>
      <c r="O31" s="47" t="s">
        <v>181</v>
      </c>
      <c r="P31" s="48" t="s">
        <v>111</v>
      </c>
      <c r="Q31" s="50">
        <v>15000000</v>
      </c>
      <c r="R31" s="50">
        <v>13000000</v>
      </c>
      <c r="S31" s="50">
        <v>0</v>
      </c>
      <c r="T31" s="50">
        <v>28000000</v>
      </c>
      <c r="U31" s="50">
        <v>0</v>
      </c>
      <c r="V31" s="50">
        <v>11748940</v>
      </c>
      <c r="W31" s="50">
        <v>16251060</v>
      </c>
      <c r="X31" s="50">
        <v>11748940</v>
      </c>
      <c r="Y31" s="50">
        <v>11748940</v>
      </c>
      <c r="Z31" s="50">
        <v>11748940</v>
      </c>
      <c r="AA31" s="50">
        <v>11748940</v>
      </c>
      <c r="AD31" s="37">
        <f>+Q31-Diciembre!C45</f>
        <v>0</v>
      </c>
    </row>
    <row r="32" spans="1:30" ht="45" x14ac:dyDescent="0.25">
      <c r="A32" s="47" t="s">
        <v>192</v>
      </c>
      <c r="B32" s="48" t="s">
        <v>191</v>
      </c>
      <c r="C32" s="49" t="s">
        <v>110</v>
      </c>
      <c r="D32" s="47" t="s">
        <v>209</v>
      </c>
      <c r="E32" s="47" t="s">
        <v>184</v>
      </c>
      <c r="F32" s="47" t="s">
        <v>184</v>
      </c>
      <c r="G32" s="47" t="s">
        <v>207</v>
      </c>
      <c r="H32" s="47" t="s">
        <v>220</v>
      </c>
      <c r="I32" s="47"/>
      <c r="J32" s="47"/>
      <c r="K32" s="47"/>
      <c r="L32" s="47"/>
      <c r="M32" s="47" t="s">
        <v>183</v>
      </c>
      <c r="N32" s="47" t="s">
        <v>182</v>
      </c>
      <c r="O32" s="47" t="s">
        <v>181</v>
      </c>
      <c r="P32" s="48" t="s">
        <v>112</v>
      </c>
      <c r="Q32" s="50">
        <v>45000000</v>
      </c>
      <c r="R32" s="50">
        <v>22000000</v>
      </c>
      <c r="S32" s="50">
        <v>0</v>
      </c>
      <c r="T32" s="50">
        <v>67000000</v>
      </c>
      <c r="U32" s="50">
        <v>0</v>
      </c>
      <c r="V32" s="50">
        <v>54777547</v>
      </c>
      <c r="W32" s="50">
        <v>12222453</v>
      </c>
      <c r="X32" s="50">
        <v>54777547</v>
      </c>
      <c r="Y32" s="50">
        <v>53799714</v>
      </c>
      <c r="Z32" s="50">
        <v>53799714</v>
      </c>
      <c r="AA32" s="50">
        <v>53799714</v>
      </c>
      <c r="AD32" s="37">
        <f>+Q32-Diciembre!C46</f>
        <v>0</v>
      </c>
    </row>
    <row r="33" spans="1:31" ht="33.75" x14ac:dyDescent="0.25">
      <c r="A33" s="47" t="s">
        <v>192</v>
      </c>
      <c r="B33" s="48" t="s">
        <v>191</v>
      </c>
      <c r="C33" s="49" t="s">
        <v>113</v>
      </c>
      <c r="D33" s="47" t="s">
        <v>209</v>
      </c>
      <c r="E33" s="47" t="s">
        <v>184</v>
      </c>
      <c r="F33" s="47" t="s">
        <v>184</v>
      </c>
      <c r="G33" s="47" t="s">
        <v>207</v>
      </c>
      <c r="H33" s="47" t="s">
        <v>219</v>
      </c>
      <c r="I33" s="47"/>
      <c r="J33" s="47"/>
      <c r="K33" s="47"/>
      <c r="L33" s="47"/>
      <c r="M33" s="47" t="s">
        <v>183</v>
      </c>
      <c r="N33" s="47" t="s">
        <v>182</v>
      </c>
      <c r="O33" s="47" t="s">
        <v>181</v>
      </c>
      <c r="P33" s="48" t="s">
        <v>114</v>
      </c>
      <c r="Q33" s="50">
        <v>32000000</v>
      </c>
      <c r="R33" s="50">
        <v>57000000</v>
      </c>
      <c r="S33" s="50">
        <v>0</v>
      </c>
      <c r="T33" s="50">
        <v>89000000</v>
      </c>
      <c r="U33" s="50">
        <v>0</v>
      </c>
      <c r="V33" s="50">
        <v>70499900.980000004</v>
      </c>
      <c r="W33" s="50">
        <v>18500099.02</v>
      </c>
      <c r="X33" s="50">
        <v>70499900.980000004</v>
      </c>
      <c r="Y33" s="50">
        <v>70499900.980000004</v>
      </c>
      <c r="Z33" s="50">
        <v>70499900.980000004</v>
      </c>
      <c r="AA33" s="50">
        <v>70499900.980000004</v>
      </c>
      <c r="AD33" s="37">
        <f>+Q33-Diciembre!C47</f>
        <v>0</v>
      </c>
    </row>
    <row r="34" spans="1:31" ht="67.5" x14ac:dyDescent="0.25">
      <c r="A34" s="47" t="s">
        <v>192</v>
      </c>
      <c r="B34" s="48" t="s">
        <v>191</v>
      </c>
      <c r="C34" s="49" t="s">
        <v>117</v>
      </c>
      <c r="D34" s="47" t="s">
        <v>209</v>
      </c>
      <c r="E34" s="47" t="s">
        <v>184</v>
      </c>
      <c r="F34" s="47" t="s">
        <v>184</v>
      </c>
      <c r="G34" s="47" t="s">
        <v>184</v>
      </c>
      <c r="H34" s="47" t="s">
        <v>206</v>
      </c>
      <c r="I34" s="47"/>
      <c r="J34" s="47"/>
      <c r="K34" s="47"/>
      <c r="L34" s="47"/>
      <c r="M34" s="47" t="s">
        <v>183</v>
      </c>
      <c r="N34" s="47" t="s">
        <v>182</v>
      </c>
      <c r="O34" s="47" t="s">
        <v>181</v>
      </c>
      <c r="P34" s="48" t="s">
        <v>122</v>
      </c>
      <c r="Q34" s="50">
        <v>1188000000</v>
      </c>
      <c r="R34" s="50">
        <v>15000000</v>
      </c>
      <c r="S34" s="50">
        <v>210000000</v>
      </c>
      <c r="T34" s="50">
        <v>993000000</v>
      </c>
      <c r="U34" s="50">
        <v>0</v>
      </c>
      <c r="V34" s="50">
        <v>892414497</v>
      </c>
      <c r="W34" s="50">
        <v>100585503</v>
      </c>
      <c r="X34" s="50">
        <v>892414497</v>
      </c>
      <c r="Y34" s="50">
        <v>890915397</v>
      </c>
      <c r="Z34" s="50">
        <v>890915397</v>
      </c>
      <c r="AA34" s="50">
        <v>890915397</v>
      </c>
      <c r="AD34" s="37">
        <f>+Q34-Diciembre!C49</f>
        <v>0</v>
      </c>
    </row>
    <row r="35" spans="1:31" ht="45" x14ac:dyDescent="0.25">
      <c r="A35" s="47" t="s">
        <v>192</v>
      </c>
      <c r="B35" s="48" t="s">
        <v>191</v>
      </c>
      <c r="C35" s="49" t="s">
        <v>118</v>
      </c>
      <c r="D35" s="47" t="s">
        <v>209</v>
      </c>
      <c r="E35" s="47" t="s">
        <v>184</v>
      </c>
      <c r="F35" s="47" t="s">
        <v>184</v>
      </c>
      <c r="G35" s="47" t="s">
        <v>184</v>
      </c>
      <c r="H35" s="47" t="s">
        <v>218</v>
      </c>
      <c r="I35" s="47"/>
      <c r="J35" s="47"/>
      <c r="K35" s="47"/>
      <c r="L35" s="47"/>
      <c r="M35" s="47" t="s">
        <v>183</v>
      </c>
      <c r="N35" s="47" t="s">
        <v>182</v>
      </c>
      <c r="O35" s="47" t="s">
        <v>181</v>
      </c>
      <c r="P35" s="48" t="s">
        <v>123</v>
      </c>
      <c r="Q35" s="50">
        <v>6025950512</v>
      </c>
      <c r="R35" s="50">
        <v>0</v>
      </c>
      <c r="S35" s="50">
        <v>1070000000</v>
      </c>
      <c r="T35" s="50">
        <v>4955950512</v>
      </c>
      <c r="U35" s="50">
        <v>0</v>
      </c>
      <c r="V35" s="50">
        <v>4933577754</v>
      </c>
      <c r="W35" s="50">
        <v>22372758</v>
      </c>
      <c r="X35" s="50">
        <v>4933577754</v>
      </c>
      <c r="Y35" s="50">
        <v>4922113512</v>
      </c>
      <c r="Z35" s="50">
        <v>4922113512</v>
      </c>
      <c r="AA35" s="50">
        <v>4922113512</v>
      </c>
      <c r="AD35" s="37">
        <f>+Q35-Diciembre!C50</f>
        <v>0</v>
      </c>
    </row>
    <row r="36" spans="1:31" ht="33.75" x14ac:dyDescent="0.25">
      <c r="A36" s="47" t="s">
        <v>192</v>
      </c>
      <c r="B36" s="48" t="s">
        <v>191</v>
      </c>
      <c r="C36" s="49" t="s">
        <v>119</v>
      </c>
      <c r="D36" s="47" t="s">
        <v>209</v>
      </c>
      <c r="E36" s="47" t="s">
        <v>184</v>
      </c>
      <c r="F36" s="47" t="s">
        <v>184</v>
      </c>
      <c r="G36" s="47" t="s">
        <v>184</v>
      </c>
      <c r="H36" s="47" t="s">
        <v>217</v>
      </c>
      <c r="I36" s="47"/>
      <c r="J36" s="47"/>
      <c r="K36" s="47"/>
      <c r="L36" s="47"/>
      <c r="M36" s="47" t="s">
        <v>183</v>
      </c>
      <c r="N36" s="47" t="s">
        <v>182</v>
      </c>
      <c r="O36" s="47" t="s">
        <v>181</v>
      </c>
      <c r="P36" s="48" t="s">
        <v>124</v>
      </c>
      <c r="Q36" s="50">
        <v>1424556980</v>
      </c>
      <c r="R36" s="50">
        <v>863000000</v>
      </c>
      <c r="S36" s="50">
        <v>267000000</v>
      </c>
      <c r="T36" s="50">
        <v>2020556980</v>
      </c>
      <c r="U36" s="50">
        <v>0</v>
      </c>
      <c r="V36" s="50">
        <v>1980121697.0799999</v>
      </c>
      <c r="W36" s="50">
        <v>40435282.920000002</v>
      </c>
      <c r="X36" s="50">
        <v>1980121697.0799999</v>
      </c>
      <c r="Y36" s="50">
        <v>1946053122.74</v>
      </c>
      <c r="Z36" s="50">
        <v>1946053122.74</v>
      </c>
      <c r="AA36" s="50">
        <v>1946053122.74</v>
      </c>
      <c r="AD36" s="37">
        <f>+Q36-Diciembre!C51</f>
        <v>0</v>
      </c>
    </row>
    <row r="37" spans="1:31" ht="33.75" x14ac:dyDescent="0.25">
      <c r="A37" s="47" t="s">
        <v>192</v>
      </c>
      <c r="B37" s="48" t="s">
        <v>191</v>
      </c>
      <c r="C37" s="49" t="s">
        <v>120</v>
      </c>
      <c r="D37" s="47" t="s">
        <v>209</v>
      </c>
      <c r="E37" s="47" t="s">
        <v>184</v>
      </c>
      <c r="F37" s="47" t="s">
        <v>184</v>
      </c>
      <c r="G37" s="47" t="s">
        <v>184</v>
      </c>
      <c r="H37" s="47" t="s">
        <v>216</v>
      </c>
      <c r="I37" s="47"/>
      <c r="J37" s="47"/>
      <c r="K37" s="47"/>
      <c r="L37" s="47"/>
      <c r="M37" s="47" t="s">
        <v>183</v>
      </c>
      <c r="N37" s="47" t="s">
        <v>182</v>
      </c>
      <c r="O37" s="47" t="s">
        <v>181</v>
      </c>
      <c r="P37" s="48" t="s">
        <v>125</v>
      </c>
      <c r="Q37" s="50">
        <v>732246236</v>
      </c>
      <c r="R37" s="50">
        <v>547000000</v>
      </c>
      <c r="S37" s="50">
        <v>0</v>
      </c>
      <c r="T37" s="50">
        <v>1279246236</v>
      </c>
      <c r="U37" s="50">
        <v>0</v>
      </c>
      <c r="V37" s="50">
        <v>1240231614</v>
      </c>
      <c r="W37" s="50">
        <v>39014622</v>
      </c>
      <c r="X37" s="50">
        <v>1240231614</v>
      </c>
      <c r="Y37" s="50">
        <v>1083470294</v>
      </c>
      <c r="Z37" s="50">
        <v>1083470294</v>
      </c>
      <c r="AA37" s="50">
        <v>1083470294</v>
      </c>
      <c r="AD37" s="37">
        <f>+Q37-Diciembre!C52</f>
        <v>0</v>
      </c>
    </row>
    <row r="38" spans="1:31" ht="33.75" x14ac:dyDescent="0.25">
      <c r="A38" s="47" t="s">
        <v>192</v>
      </c>
      <c r="B38" s="48" t="s">
        <v>191</v>
      </c>
      <c r="C38" s="49" t="s">
        <v>121</v>
      </c>
      <c r="D38" s="47" t="s">
        <v>209</v>
      </c>
      <c r="E38" s="47" t="s">
        <v>184</v>
      </c>
      <c r="F38" s="47" t="s">
        <v>184</v>
      </c>
      <c r="G38" s="47" t="s">
        <v>184</v>
      </c>
      <c r="H38" s="47" t="s">
        <v>215</v>
      </c>
      <c r="I38" s="47"/>
      <c r="J38" s="47"/>
      <c r="K38" s="47"/>
      <c r="L38" s="47"/>
      <c r="M38" s="47" t="s">
        <v>183</v>
      </c>
      <c r="N38" s="47" t="s">
        <v>182</v>
      </c>
      <c r="O38" s="47" t="s">
        <v>181</v>
      </c>
      <c r="P38" s="48" t="s">
        <v>126</v>
      </c>
      <c r="Q38" s="50">
        <v>300000000</v>
      </c>
      <c r="R38" s="50">
        <v>30000000</v>
      </c>
      <c r="S38" s="50">
        <v>0</v>
      </c>
      <c r="T38" s="50">
        <v>330000000</v>
      </c>
      <c r="U38" s="50">
        <v>0</v>
      </c>
      <c r="V38" s="50">
        <v>299426719</v>
      </c>
      <c r="W38" s="50">
        <v>30573281</v>
      </c>
      <c r="X38" s="50">
        <v>299426719</v>
      </c>
      <c r="Y38" s="50">
        <v>299426719</v>
      </c>
      <c r="Z38" s="50">
        <v>299426719</v>
      </c>
      <c r="AA38" s="50">
        <v>299426719</v>
      </c>
      <c r="AD38" s="37">
        <f>+Q38-Diciembre!C53</f>
        <v>0</v>
      </c>
    </row>
    <row r="39" spans="1:31" ht="33.75" x14ac:dyDescent="0.25">
      <c r="A39" s="47" t="s">
        <v>192</v>
      </c>
      <c r="B39" s="48" t="s">
        <v>191</v>
      </c>
      <c r="C39" s="49" t="s">
        <v>146</v>
      </c>
      <c r="D39" s="47" t="s">
        <v>209</v>
      </c>
      <c r="E39" s="47" t="s">
        <v>214</v>
      </c>
      <c r="F39" s="47" t="s">
        <v>213</v>
      </c>
      <c r="G39" s="47" t="s">
        <v>184</v>
      </c>
      <c r="H39" s="47" t="s">
        <v>212</v>
      </c>
      <c r="I39" s="47" t="s">
        <v>210</v>
      </c>
      <c r="J39" s="47"/>
      <c r="K39" s="47"/>
      <c r="L39" s="47"/>
      <c r="M39" s="47" t="s">
        <v>183</v>
      </c>
      <c r="N39" s="47" t="s">
        <v>182</v>
      </c>
      <c r="O39" s="47" t="s">
        <v>181</v>
      </c>
      <c r="P39" s="48" t="s">
        <v>148</v>
      </c>
      <c r="Q39" s="50">
        <v>99860000</v>
      </c>
      <c r="R39" s="50">
        <v>95419340</v>
      </c>
      <c r="S39" s="50">
        <v>115419340</v>
      </c>
      <c r="T39" s="50">
        <v>79860000</v>
      </c>
      <c r="U39" s="50">
        <v>0</v>
      </c>
      <c r="V39" s="50">
        <v>69591740</v>
      </c>
      <c r="W39" s="50">
        <v>10268260</v>
      </c>
      <c r="X39" s="50">
        <v>69591740</v>
      </c>
      <c r="Y39" s="50">
        <v>69591740</v>
      </c>
      <c r="Z39" s="50">
        <v>69591740</v>
      </c>
      <c r="AA39" s="50">
        <v>69591740</v>
      </c>
      <c r="AD39" s="37">
        <f>+Q39-Diciembre!C56</f>
        <v>0</v>
      </c>
    </row>
    <row r="40" spans="1:31" ht="33.75" x14ac:dyDescent="0.25">
      <c r="A40" s="47" t="s">
        <v>192</v>
      </c>
      <c r="B40" s="48" t="s">
        <v>191</v>
      </c>
      <c r="C40" s="49" t="s">
        <v>147</v>
      </c>
      <c r="D40" s="47" t="s">
        <v>209</v>
      </c>
      <c r="E40" s="47" t="s">
        <v>214</v>
      </c>
      <c r="F40" s="47" t="s">
        <v>213</v>
      </c>
      <c r="G40" s="47" t="s">
        <v>184</v>
      </c>
      <c r="H40" s="47" t="s">
        <v>212</v>
      </c>
      <c r="I40" s="47" t="s">
        <v>211</v>
      </c>
      <c r="J40" s="47"/>
      <c r="K40" s="47"/>
      <c r="L40" s="47"/>
      <c r="M40" s="47" t="s">
        <v>183</v>
      </c>
      <c r="N40" s="47" t="s">
        <v>182</v>
      </c>
      <c r="O40" s="47" t="s">
        <v>181</v>
      </c>
      <c r="P40" s="48" t="s">
        <v>149</v>
      </c>
      <c r="Q40" s="50">
        <v>20000000</v>
      </c>
      <c r="R40" s="50">
        <v>0</v>
      </c>
      <c r="S40" s="50">
        <v>0</v>
      </c>
      <c r="T40" s="50">
        <v>20000000</v>
      </c>
      <c r="U40" s="50">
        <v>0</v>
      </c>
      <c r="V40" s="50">
        <v>12945162</v>
      </c>
      <c r="W40" s="50">
        <v>7054838</v>
      </c>
      <c r="X40" s="50">
        <v>12945162</v>
      </c>
      <c r="Y40" s="50">
        <v>12945162</v>
      </c>
      <c r="Z40" s="50">
        <v>12945162</v>
      </c>
      <c r="AA40" s="50">
        <v>12945162</v>
      </c>
      <c r="AD40" s="37">
        <f>+Q40-Diciembre!C57</f>
        <v>20000000</v>
      </c>
    </row>
    <row r="41" spans="1:31" ht="33.75" x14ac:dyDescent="0.25">
      <c r="A41" s="47" t="s">
        <v>192</v>
      </c>
      <c r="B41" s="48" t="s">
        <v>191</v>
      </c>
      <c r="C41" s="49" t="s">
        <v>137</v>
      </c>
      <c r="D41" s="47" t="s">
        <v>209</v>
      </c>
      <c r="E41" s="47" t="s">
        <v>208</v>
      </c>
      <c r="F41" s="47" t="s">
        <v>207</v>
      </c>
      <c r="G41" s="47" t="s">
        <v>184</v>
      </c>
      <c r="H41" s="47" t="s">
        <v>210</v>
      </c>
      <c r="I41" s="47"/>
      <c r="J41" s="47"/>
      <c r="K41" s="47"/>
      <c r="L41" s="47"/>
      <c r="M41" s="47" t="s">
        <v>183</v>
      </c>
      <c r="N41" s="47" t="s">
        <v>182</v>
      </c>
      <c r="O41" s="47" t="s">
        <v>181</v>
      </c>
      <c r="P41" s="48" t="s">
        <v>139</v>
      </c>
      <c r="Q41" s="50">
        <v>10350000</v>
      </c>
      <c r="R41" s="50">
        <v>2078000</v>
      </c>
      <c r="S41" s="50">
        <v>0</v>
      </c>
      <c r="T41" s="50">
        <v>12428000</v>
      </c>
      <c r="U41" s="50">
        <v>0</v>
      </c>
      <c r="V41" s="50">
        <v>12428000</v>
      </c>
      <c r="W41" s="50">
        <v>0</v>
      </c>
      <c r="X41" s="50">
        <v>12428000</v>
      </c>
      <c r="Y41" s="50">
        <v>12428000</v>
      </c>
      <c r="Z41" s="50">
        <v>12428000</v>
      </c>
      <c r="AA41" s="50">
        <v>12428000</v>
      </c>
      <c r="AD41" s="37">
        <f>+Q41-Diciembre!C62</f>
        <v>0</v>
      </c>
    </row>
    <row r="42" spans="1:31" ht="33.75" x14ac:dyDescent="0.25">
      <c r="A42" s="47" t="s">
        <v>192</v>
      </c>
      <c r="B42" s="48" t="s">
        <v>191</v>
      </c>
      <c r="C42" s="49" t="s">
        <v>138</v>
      </c>
      <c r="D42" s="47" t="s">
        <v>209</v>
      </c>
      <c r="E42" s="47" t="s">
        <v>208</v>
      </c>
      <c r="F42" s="47" t="s">
        <v>207</v>
      </c>
      <c r="G42" s="47" t="s">
        <v>184</v>
      </c>
      <c r="H42" s="47" t="s">
        <v>206</v>
      </c>
      <c r="I42" s="47"/>
      <c r="J42" s="47"/>
      <c r="K42" s="47"/>
      <c r="L42" s="47"/>
      <c r="M42" s="47" t="s">
        <v>183</v>
      </c>
      <c r="N42" s="47" t="s">
        <v>182</v>
      </c>
      <c r="O42" s="47" t="s">
        <v>181</v>
      </c>
      <c r="P42" s="48" t="s">
        <v>140</v>
      </c>
      <c r="Q42" s="50">
        <v>350000</v>
      </c>
      <c r="R42" s="50">
        <v>0</v>
      </c>
      <c r="S42" s="50">
        <v>20000</v>
      </c>
      <c r="T42" s="50">
        <v>330000</v>
      </c>
      <c r="U42" s="50">
        <v>0</v>
      </c>
      <c r="V42" s="50">
        <v>330000</v>
      </c>
      <c r="W42" s="50">
        <v>0</v>
      </c>
      <c r="X42" s="50">
        <v>330000</v>
      </c>
      <c r="Y42" s="50">
        <v>330000</v>
      </c>
      <c r="Z42" s="50">
        <v>330000</v>
      </c>
      <c r="AA42" s="50">
        <v>330000</v>
      </c>
      <c r="AD42" s="37">
        <f>+Q42-Diciembre!C63</f>
        <v>0</v>
      </c>
    </row>
    <row r="43" spans="1:31" ht="67.5" x14ac:dyDescent="0.25">
      <c r="A43" s="47" t="s">
        <v>192</v>
      </c>
      <c r="B43" s="48" t="s">
        <v>191</v>
      </c>
      <c r="C43" s="49" t="s">
        <v>158</v>
      </c>
      <c r="D43" s="47" t="s">
        <v>190</v>
      </c>
      <c r="E43" s="47" t="s">
        <v>205</v>
      </c>
      <c r="F43" s="47" t="s">
        <v>188</v>
      </c>
      <c r="G43" s="47" t="s">
        <v>204</v>
      </c>
      <c r="H43" s="47" t="s">
        <v>186</v>
      </c>
      <c r="I43" s="47" t="s">
        <v>203</v>
      </c>
      <c r="J43" s="47" t="s">
        <v>184</v>
      </c>
      <c r="K43" s="47"/>
      <c r="L43" s="47"/>
      <c r="M43" s="47" t="s">
        <v>183</v>
      </c>
      <c r="N43" s="47" t="s">
        <v>182</v>
      </c>
      <c r="O43" s="47" t="s">
        <v>181</v>
      </c>
      <c r="P43" s="48" t="s">
        <v>246</v>
      </c>
      <c r="Q43" s="50">
        <v>200000000</v>
      </c>
      <c r="R43" s="50">
        <v>0</v>
      </c>
      <c r="S43" s="50">
        <v>0</v>
      </c>
      <c r="T43" s="50">
        <v>200000000</v>
      </c>
      <c r="U43" s="50">
        <v>0</v>
      </c>
      <c r="V43" s="50">
        <v>200000000</v>
      </c>
      <c r="W43" s="50">
        <v>0</v>
      </c>
      <c r="X43" s="50">
        <v>200000000</v>
      </c>
      <c r="Y43" s="50">
        <v>200000000</v>
      </c>
      <c r="Z43" s="50">
        <v>200000000</v>
      </c>
      <c r="AA43" s="50">
        <v>200000000</v>
      </c>
      <c r="AD43" s="37">
        <f>+Q43-Diciembre!C67</f>
        <v>0</v>
      </c>
    </row>
    <row r="44" spans="1:31" ht="90" x14ac:dyDescent="0.25">
      <c r="A44" s="47" t="s">
        <v>192</v>
      </c>
      <c r="B44" s="48" t="s">
        <v>191</v>
      </c>
      <c r="C44" s="49" t="s">
        <v>160</v>
      </c>
      <c r="D44" s="47" t="s">
        <v>190</v>
      </c>
      <c r="E44" s="47" t="s">
        <v>189</v>
      </c>
      <c r="F44" s="47" t="s">
        <v>188</v>
      </c>
      <c r="G44" s="47" t="s">
        <v>201</v>
      </c>
      <c r="H44" s="47" t="s">
        <v>186</v>
      </c>
      <c r="I44" s="47" t="s">
        <v>202</v>
      </c>
      <c r="J44" s="47" t="s">
        <v>184</v>
      </c>
      <c r="K44" s="47"/>
      <c r="L44" s="47"/>
      <c r="M44" s="47" t="s">
        <v>183</v>
      </c>
      <c r="N44" s="47" t="s">
        <v>182</v>
      </c>
      <c r="O44" s="47" t="s">
        <v>181</v>
      </c>
      <c r="P44" s="48" t="s">
        <v>247</v>
      </c>
      <c r="Q44" s="50">
        <v>185900000</v>
      </c>
      <c r="R44" s="50">
        <v>0</v>
      </c>
      <c r="S44" s="50"/>
      <c r="T44" s="50">
        <v>127601667</v>
      </c>
      <c r="U44" s="50">
        <v>0</v>
      </c>
      <c r="V44" s="50">
        <v>127601667</v>
      </c>
      <c r="W44" s="50">
        <v>0</v>
      </c>
      <c r="X44" s="50">
        <v>127601667</v>
      </c>
      <c r="Y44" s="50">
        <v>127601667</v>
      </c>
      <c r="Z44" s="50">
        <v>127601667</v>
      </c>
      <c r="AA44" s="50">
        <v>127601667</v>
      </c>
      <c r="AE44" s="50">
        <v>58298333</v>
      </c>
    </row>
    <row r="45" spans="1:31" ht="90" x14ac:dyDescent="0.25">
      <c r="A45" s="47" t="s">
        <v>192</v>
      </c>
      <c r="B45" s="48" t="s">
        <v>191</v>
      </c>
      <c r="C45" s="49" t="s">
        <v>161</v>
      </c>
      <c r="D45" s="47" t="s">
        <v>190</v>
      </c>
      <c r="E45" s="47" t="s">
        <v>189</v>
      </c>
      <c r="F45" s="47" t="s">
        <v>188</v>
      </c>
      <c r="G45" s="47" t="s">
        <v>201</v>
      </c>
      <c r="H45" s="47" t="s">
        <v>186</v>
      </c>
      <c r="I45" s="47" t="s">
        <v>194</v>
      </c>
      <c r="J45" s="47" t="s">
        <v>184</v>
      </c>
      <c r="K45" s="47"/>
      <c r="L45" s="47"/>
      <c r="M45" s="47" t="s">
        <v>183</v>
      </c>
      <c r="N45" s="47" t="s">
        <v>182</v>
      </c>
      <c r="O45" s="47" t="s">
        <v>181</v>
      </c>
      <c r="P45" s="48" t="s">
        <v>248</v>
      </c>
      <c r="Q45" s="50">
        <v>120000000</v>
      </c>
      <c r="R45" s="50">
        <v>0</v>
      </c>
      <c r="S45" s="50"/>
      <c r="T45" s="50">
        <v>106743762</v>
      </c>
      <c r="U45" s="50">
        <v>0</v>
      </c>
      <c r="V45" s="50">
        <v>106743761</v>
      </c>
      <c r="W45" s="50">
        <v>1</v>
      </c>
      <c r="X45" s="50">
        <v>106743761</v>
      </c>
      <c r="Y45" s="50">
        <v>106743761</v>
      </c>
      <c r="Z45" s="50">
        <v>106743761</v>
      </c>
      <c r="AA45" s="50">
        <v>106743761</v>
      </c>
      <c r="AE45" s="50">
        <v>13256238</v>
      </c>
    </row>
    <row r="46" spans="1:31" ht="90" x14ac:dyDescent="0.25">
      <c r="A46" s="47" t="s">
        <v>192</v>
      </c>
      <c r="B46" s="48" t="s">
        <v>191</v>
      </c>
      <c r="C46" s="49" t="s">
        <v>162</v>
      </c>
      <c r="D46" s="47" t="s">
        <v>190</v>
      </c>
      <c r="E46" s="47" t="s">
        <v>189</v>
      </c>
      <c r="F46" s="47" t="s">
        <v>188</v>
      </c>
      <c r="G46" s="47" t="s">
        <v>201</v>
      </c>
      <c r="H46" s="47" t="s">
        <v>186</v>
      </c>
      <c r="I46" s="47" t="s">
        <v>200</v>
      </c>
      <c r="J46" s="47" t="s">
        <v>184</v>
      </c>
      <c r="K46" s="47"/>
      <c r="L46" s="47"/>
      <c r="M46" s="47" t="s">
        <v>183</v>
      </c>
      <c r="N46" s="47" t="s">
        <v>182</v>
      </c>
      <c r="O46" s="47" t="s">
        <v>181</v>
      </c>
      <c r="P46" s="48" t="s">
        <v>249</v>
      </c>
      <c r="Q46" s="50">
        <v>740000000</v>
      </c>
      <c r="R46" s="50">
        <v>0</v>
      </c>
      <c r="S46" s="50"/>
      <c r="T46" s="50">
        <v>622671224</v>
      </c>
      <c r="U46" s="50">
        <v>0</v>
      </c>
      <c r="V46" s="50">
        <v>613488224</v>
      </c>
      <c r="W46" s="50">
        <v>9183000</v>
      </c>
      <c r="X46" s="50">
        <v>613488224</v>
      </c>
      <c r="Y46" s="50">
        <v>494288224</v>
      </c>
      <c r="Z46" s="50">
        <v>494288224</v>
      </c>
      <c r="AA46" s="50">
        <v>494288224</v>
      </c>
      <c r="AE46" s="50">
        <v>117328776</v>
      </c>
    </row>
    <row r="47" spans="1:31" ht="112.5" x14ac:dyDescent="0.25">
      <c r="A47" s="47" t="s">
        <v>192</v>
      </c>
      <c r="B47" s="48" t="s">
        <v>191</v>
      </c>
      <c r="C47" s="49" t="s">
        <v>166</v>
      </c>
      <c r="D47" s="47" t="s">
        <v>190</v>
      </c>
      <c r="E47" s="47" t="s">
        <v>189</v>
      </c>
      <c r="F47" s="47" t="s">
        <v>188</v>
      </c>
      <c r="G47" s="47" t="s">
        <v>199</v>
      </c>
      <c r="H47" s="47" t="s">
        <v>186</v>
      </c>
      <c r="I47" s="47" t="s">
        <v>200</v>
      </c>
      <c r="J47" s="47" t="s">
        <v>184</v>
      </c>
      <c r="K47" s="47"/>
      <c r="L47" s="47"/>
      <c r="M47" s="47" t="s">
        <v>183</v>
      </c>
      <c r="N47" s="47" t="s">
        <v>182</v>
      </c>
      <c r="O47" s="47" t="s">
        <v>181</v>
      </c>
      <c r="P47" s="48" t="s">
        <v>251</v>
      </c>
      <c r="Q47" s="50">
        <v>1900000000</v>
      </c>
      <c r="R47" s="50">
        <v>0</v>
      </c>
      <c r="S47" s="50"/>
      <c r="T47" s="50">
        <v>1740000000</v>
      </c>
      <c r="U47" s="50">
        <v>0</v>
      </c>
      <c r="V47" s="50">
        <v>1727496737.1099999</v>
      </c>
      <c r="W47" s="50">
        <v>12503262.890000001</v>
      </c>
      <c r="X47" s="50">
        <v>1727496737.1099999</v>
      </c>
      <c r="Y47" s="50">
        <v>1727496737.1099999</v>
      </c>
      <c r="Z47" s="50">
        <v>1668866576.8399999</v>
      </c>
      <c r="AA47" s="50">
        <v>1668866576.8399999</v>
      </c>
      <c r="AE47" s="50">
        <v>160000000</v>
      </c>
    </row>
    <row r="48" spans="1:31" ht="112.5" x14ac:dyDescent="0.25">
      <c r="A48" s="47" t="s">
        <v>192</v>
      </c>
      <c r="B48" s="48" t="s">
        <v>191</v>
      </c>
      <c r="C48" s="49" t="s">
        <v>167</v>
      </c>
      <c r="D48" s="47" t="s">
        <v>190</v>
      </c>
      <c r="E48" s="47" t="s">
        <v>189</v>
      </c>
      <c r="F48" s="47" t="s">
        <v>188</v>
      </c>
      <c r="G48" s="47" t="s">
        <v>199</v>
      </c>
      <c r="H48" s="47" t="s">
        <v>186</v>
      </c>
      <c r="I48" s="47" t="s">
        <v>198</v>
      </c>
      <c r="J48" s="47" t="s">
        <v>184</v>
      </c>
      <c r="K48" s="47"/>
      <c r="L48" s="47"/>
      <c r="M48" s="47" t="s">
        <v>183</v>
      </c>
      <c r="N48" s="47" t="s">
        <v>182</v>
      </c>
      <c r="O48" s="47" t="s">
        <v>181</v>
      </c>
      <c r="P48" s="48" t="s">
        <v>250</v>
      </c>
      <c r="Q48" s="50">
        <v>925211185</v>
      </c>
      <c r="R48" s="50">
        <v>0</v>
      </c>
      <c r="S48" s="50"/>
      <c r="T48" s="50">
        <v>705211185</v>
      </c>
      <c r="U48" s="50">
        <v>0</v>
      </c>
      <c r="V48" s="50">
        <v>702497210</v>
      </c>
      <c r="W48" s="50">
        <v>2713975</v>
      </c>
      <c r="X48" s="50">
        <v>702497210</v>
      </c>
      <c r="Y48" s="50">
        <v>627497210</v>
      </c>
      <c r="Z48" s="50">
        <v>627497210</v>
      </c>
      <c r="AA48" s="50">
        <v>627497210</v>
      </c>
      <c r="AE48" s="50">
        <v>220000000</v>
      </c>
    </row>
    <row r="49" spans="1:31" ht="101.25" x14ac:dyDescent="0.25">
      <c r="A49" s="47" t="s">
        <v>192</v>
      </c>
      <c r="B49" s="48" t="s">
        <v>191</v>
      </c>
      <c r="C49" s="49" t="s">
        <v>150</v>
      </c>
      <c r="D49" s="47" t="s">
        <v>190</v>
      </c>
      <c r="E49" s="47" t="s">
        <v>189</v>
      </c>
      <c r="F49" s="47" t="s">
        <v>188</v>
      </c>
      <c r="G49" s="47" t="s">
        <v>196</v>
      </c>
      <c r="H49" s="47" t="s">
        <v>186</v>
      </c>
      <c r="I49" s="47" t="s">
        <v>194</v>
      </c>
      <c r="J49" s="47" t="s">
        <v>184</v>
      </c>
      <c r="K49" s="47"/>
      <c r="L49" s="47"/>
      <c r="M49" s="47" t="s">
        <v>183</v>
      </c>
      <c r="N49" s="47" t="s">
        <v>182</v>
      </c>
      <c r="O49" s="47" t="s">
        <v>181</v>
      </c>
      <c r="P49" s="48" t="s">
        <v>255</v>
      </c>
      <c r="Q49" s="50">
        <v>947762000</v>
      </c>
      <c r="R49" s="50">
        <v>0</v>
      </c>
      <c r="S49" s="50">
        <v>74463633</v>
      </c>
      <c r="T49" s="50">
        <v>873298367</v>
      </c>
      <c r="U49" s="50">
        <v>0</v>
      </c>
      <c r="V49" s="50">
        <v>859548279.66999996</v>
      </c>
      <c r="W49" s="50">
        <v>13750087.33</v>
      </c>
      <c r="X49" s="50">
        <v>859548279.66999996</v>
      </c>
      <c r="Y49" s="50">
        <v>849681612.66999996</v>
      </c>
      <c r="Z49" s="50">
        <v>849681612.66999996</v>
      </c>
      <c r="AA49" s="50">
        <v>849681612.66999996</v>
      </c>
    </row>
    <row r="50" spans="1:31" ht="101.25" x14ac:dyDescent="0.25">
      <c r="A50" s="47" t="s">
        <v>192</v>
      </c>
      <c r="B50" s="48" t="s">
        <v>191</v>
      </c>
      <c r="C50" s="49" t="s">
        <v>151</v>
      </c>
      <c r="D50" s="47" t="s">
        <v>190</v>
      </c>
      <c r="E50" s="47" t="s">
        <v>189</v>
      </c>
      <c r="F50" s="47" t="s">
        <v>188</v>
      </c>
      <c r="G50" s="47" t="s">
        <v>196</v>
      </c>
      <c r="H50" s="47" t="s">
        <v>186</v>
      </c>
      <c r="I50" s="47" t="s">
        <v>197</v>
      </c>
      <c r="J50" s="47" t="s">
        <v>184</v>
      </c>
      <c r="K50" s="47"/>
      <c r="L50" s="47"/>
      <c r="M50" s="47" t="s">
        <v>183</v>
      </c>
      <c r="N50" s="47" t="s">
        <v>182</v>
      </c>
      <c r="O50" s="47" t="s">
        <v>181</v>
      </c>
      <c r="P50" s="48" t="s">
        <v>252</v>
      </c>
      <c r="Q50" s="50">
        <v>400000000</v>
      </c>
      <c r="R50" s="50">
        <v>0</v>
      </c>
      <c r="S50" s="50">
        <v>0</v>
      </c>
      <c r="T50" s="50">
        <v>400000000</v>
      </c>
      <c r="U50" s="50">
        <v>0</v>
      </c>
      <c r="V50" s="50">
        <v>399122811</v>
      </c>
      <c r="W50" s="50">
        <v>877189</v>
      </c>
      <c r="X50" s="50">
        <v>399122811</v>
      </c>
      <c r="Y50" s="50">
        <v>391889479</v>
      </c>
      <c r="Z50" s="50">
        <v>391889479</v>
      </c>
      <c r="AA50" s="50">
        <v>391889479</v>
      </c>
    </row>
    <row r="51" spans="1:31" ht="112.5" x14ac:dyDescent="0.25">
      <c r="A51" s="47" t="s">
        <v>192</v>
      </c>
      <c r="B51" s="48" t="s">
        <v>191</v>
      </c>
      <c r="C51" s="49" t="s">
        <v>152</v>
      </c>
      <c r="D51" s="47" t="s">
        <v>190</v>
      </c>
      <c r="E51" s="47" t="s">
        <v>189</v>
      </c>
      <c r="F51" s="47" t="s">
        <v>188</v>
      </c>
      <c r="G51" s="47" t="s">
        <v>196</v>
      </c>
      <c r="H51" s="47" t="s">
        <v>186</v>
      </c>
      <c r="I51" s="47" t="s">
        <v>185</v>
      </c>
      <c r="J51" s="47" t="s">
        <v>184</v>
      </c>
      <c r="K51" s="47"/>
      <c r="L51" s="47"/>
      <c r="M51" s="47" t="s">
        <v>183</v>
      </c>
      <c r="N51" s="47" t="s">
        <v>182</v>
      </c>
      <c r="O51" s="47" t="s">
        <v>181</v>
      </c>
      <c r="P51" s="48" t="s">
        <v>253</v>
      </c>
      <c r="Q51" s="50">
        <v>201220000</v>
      </c>
      <c r="R51" s="50">
        <v>0</v>
      </c>
      <c r="S51" s="50">
        <v>25000000</v>
      </c>
      <c r="T51" s="50">
        <v>176220000</v>
      </c>
      <c r="U51" s="50">
        <v>0</v>
      </c>
      <c r="V51" s="50">
        <v>174331881</v>
      </c>
      <c r="W51" s="50">
        <v>1888119</v>
      </c>
      <c r="X51" s="50">
        <v>174331881</v>
      </c>
      <c r="Y51" s="50">
        <v>174331881</v>
      </c>
      <c r="Z51" s="50">
        <v>174331881</v>
      </c>
      <c r="AA51" s="50">
        <v>174331881</v>
      </c>
    </row>
    <row r="52" spans="1:31" ht="101.25" x14ac:dyDescent="0.25">
      <c r="A52" s="47" t="s">
        <v>192</v>
      </c>
      <c r="B52" s="48" t="s">
        <v>191</v>
      </c>
      <c r="C52" s="49" t="s">
        <v>153</v>
      </c>
      <c r="D52" s="47" t="s">
        <v>190</v>
      </c>
      <c r="E52" s="47" t="s">
        <v>189</v>
      </c>
      <c r="F52" s="47" t="s">
        <v>188</v>
      </c>
      <c r="G52" s="47" t="s">
        <v>196</v>
      </c>
      <c r="H52" s="47" t="s">
        <v>186</v>
      </c>
      <c r="I52" s="47" t="s">
        <v>193</v>
      </c>
      <c r="J52" s="47" t="s">
        <v>184</v>
      </c>
      <c r="K52" s="47"/>
      <c r="L52" s="47"/>
      <c r="M52" s="47" t="s">
        <v>183</v>
      </c>
      <c r="N52" s="47" t="s">
        <v>182</v>
      </c>
      <c r="O52" s="47" t="s">
        <v>181</v>
      </c>
      <c r="P52" s="48" t="s">
        <v>254</v>
      </c>
      <c r="Q52" s="50">
        <v>851018000</v>
      </c>
      <c r="R52" s="50">
        <v>0</v>
      </c>
      <c r="S52" s="50">
        <v>80536367</v>
      </c>
      <c r="T52" s="50">
        <v>770481633</v>
      </c>
      <c r="U52" s="50">
        <v>0</v>
      </c>
      <c r="V52" s="50">
        <v>770481633</v>
      </c>
      <c r="W52" s="50">
        <v>0</v>
      </c>
      <c r="X52" s="50">
        <v>770481633</v>
      </c>
      <c r="Y52" s="50">
        <v>770481633</v>
      </c>
      <c r="Z52" s="50">
        <v>770481633</v>
      </c>
      <c r="AA52" s="50">
        <v>770481633</v>
      </c>
    </row>
    <row r="53" spans="1:31" ht="33" customHeight="1" x14ac:dyDescent="0.25">
      <c r="A53" s="47" t="s">
        <v>192</v>
      </c>
      <c r="B53" s="48" t="s">
        <v>191</v>
      </c>
      <c r="C53" s="49" t="s">
        <v>169</v>
      </c>
      <c r="D53" s="47" t="s">
        <v>190</v>
      </c>
      <c r="E53" s="47" t="s">
        <v>189</v>
      </c>
      <c r="F53" s="47" t="s">
        <v>188</v>
      </c>
      <c r="G53" s="47" t="s">
        <v>195</v>
      </c>
      <c r="H53" s="47" t="s">
        <v>186</v>
      </c>
      <c r="I53" s="47" t="s">
        <v>193</v>
      </c>
      <c r="J53" s="47" t="s">
        <v>184</v>
      </c>
      <c r="K53" s="47"/>
      <c r="L53" s="47"/>
      <c r="M53" s="47" t="s">
        <v>183</v>
      </c>
      <c r="N53" s="47" t="s">
        <v>182</v>
      </c>
      <c r="O53" s="47" t="s">
        <v>181</v>
      </c>
      <c r="P53" s="48" t="s">
        <v>256</v>
      </c>
      <c r="Q53" s="50">
        <v>80000000</v>
      </c>
      <c r="R53" s="50">
        <v>0</v>
      </c>
      <c r="S53" s="50">
        <v>0</v>
      </c>
      <c r="T53" s="50">
        <v>80000000</v>
      </c>
      <c r="U53" s="50">
        <v>0</v>
      </c>
      <c r="V53" s="50">
        <v>79999975</v>
      </c>
      <c r="W53" s="50">
        <v>25</v>
      </c>
      <c r="X53" s="50">
        <v>79999975</v>
      </c>
      <c r="Y53" s="50">
        <v>79999975</v>
      </c>
      <c r="Z53" s="50">
        <v>79999975</v>
      </c>
      <c r="AA53" s="50">
        <v>79999975</v>
      </c>
    </row>
    <row r="54" spans="1:31" ht="101.25" x14ac:dyDescent="0.25">
      <c r="A54" s="47" t="s">
        <v>192</v>
      </c>
      <c r="B54" s="48" t="s">
        <v>191</v>
      </c>
      <c r="C54" s="49" t="s">
        <v>170</v>
      </c>
      <c r="D54" s="47" t="s">
        <v>190</v>
      </c>
      <c r="E54" s="47" t="s">
        <v>189</v>
      </c>
      <c r="F54" s="47" t="s">
        <v>188</v>
      </c>
      <c r="G54" s="47" t="s">
        <v>195</v>
      </c>
      <c r="H54" s="47" t="s">
        <v>186</v>
      </c>
      <c r="I54" s="47" t="s">
        <v>194</v>
      </c>
      <c r="J54" s="47" t="s">
        <v>184</v>
      </c>
      <c r="K54" s="47"/>
      <c r="L54" s="47"/>
      <c r="M54" s="47" t="s">
        <v>183</v>
      </c>
      <c r="N54" s="47" t="s">
        <v>182</v>
      </c>
      <c r="O54" s="47" t="s">
        <v>181</v>
      </c>
      <c r="P54" s="48" t="s">
        <v>257</v>
      </c>
      <c r="Q54" s="50">
        <v>120000000</v>
      </c>
      <c r="R54" s="50">
        <v>0</v>
      </c>
      <c r="S54" s="50"/>
      <c r="T54" s="50">
        <v>41800000</v>
      </c>
      <c r="U54" s="50">
        <v>0</v>
      </c>
      <c r="V54" s="50">
        <v>41800000</v>
      </c>
      <c r="W54" s="50">
        <v>0</v>
      </c>
      <c r="X54" s="50">
        <v>41800000</v>
      </c>
      <c r="Y54" s="50">
        <v>41800000</v>
      </c>
      <c r="Z54" s="50">
        <v>41800000</v>
      </c>
      <c r="AA54" s="50">
        <v>41800000</v>
      </c>
      <c r="AE54" s="50">
        <v>78200000</v>
      </c>
    </row>
    <row r="55" spans="1:31" ht="90" x14ac:dyDescent="0.25">
      <c r="A55" s="47" t="s">
        <v>192</v>
      </c>
      <c r="B55" s="48" t="s">
        <v>191</v>
      </c>
      <c r="C55" s="49" t="s">
        <v>172</v>
      </c>
      <c r="D55" s="47" t="s">
        <v>190</v>
      </c>
      <c r="E55" s="47" t="s">
        <v>189</v>
      </c>
      <c r="F55" s="47" t="s">
        <v>188</v>
      </c>
      <c r="G55" s="47" t="s">
        <v>187</v>
      </c>
      <c r="H55" s="47" t="s">
        <v>186</v>
      </c>
      <c r="I55" s="47" t="s">
        <v>193</v>
      </c>
      <c r="J55" s="47" t="s">
        <v>184</v>
      </c>
      <c r="K55" s="47"/>
      <c r="L55" s="47"/>
      <c r="M55" s="47" t="s">
        <v>183</v>
      </c>
      <c r="N55" s="47" t="s">
        <v>182</v>
      </c>
      <c r="O55" s="47" t="s">
        <v>181</v>
      </c>
      <c r="P55" s="48" t="s">
        <v>258</v>
      </c>
      <c r="Q55" s="50">
        <v>294200481</v>
      </c>
      <c r="R55" s="50">
        <v>0</v>
      </c>
      <c r="S55" s="50">
        <v>0</v>
      </c>
      <c r="T55" s="50">
        <v>294200481</v>
      </c>
      <c r="U55" s="50">
        <v>0</v>
      </c>
      <c r="V55" s="50">
        <v>270920289</v>
      </c>
      <c r="W55" s="50">
        <v>23280192</v>
      </c>
      <c r="X55" s="50">
        <v>270920289</v>
      </c>
      <c r="Y55" s="50">
        <v>270920289</v>
      </c>
      <c r="Z55" s="50">
        <v>240858745</v>
      </c>
      <c r="AA55" s="50">
        <v>240858745</v>
      </c>
    </row>
    <row r="56" spans="1:31" ht="101.25" x14ac:dyDescent="0.25">
      <c r="A56" s="47" t="s">
        <v>192</v>
      </c>
      <c r="B56" s="48" t="s">
        <v>191</v>
      </c>
      <c r="C56" s="49" t="s">
        <v>173</v>
      </c>
      <c r="D56" s="47" t="s">
        <v>190</v>
      </c>
      <c r="E56" s="47" t="s">
        <v>189</v>
      </c>
      <c r="F56" s="47" t="s">
        <v>188</v>
      </c>
      <c r="G56" s="47" t="s">
        <v>187</v>
      </c>
      <c r="H56" s="47" t="s">
        <v>186</v>
      </c>
      <c r="I56" s="47" t="s">
        <v>185</v>
      </c>
      <c r="J56" s="47" t="s">
        <v>184</v>
      </c>
      <c r="K56" s="47"/>
      <c r="L56" s="47"/>
      <c r="M56" s="47" t="s">
        <v>183</v>
      </c>
      <c r="N56" s="47" t="s">
        <v>182</v>
      </c>
      <c r="O56" s="47" t="s">
        <v>181</v>
      </c>
      <c r="P56" s="48" t="s">
        <v>259</v>
      </c>
      <c r="Q56" s="50">
        <v>34688334</v>
      </c>
      <c r="R56" s="50">
        <v>0</v>
      </c>
      <c r="S56" s="50">
        <v>0</v>
      </c>
      <c r="T56" s="50">
        <v>34688334</v>
      </c>
      <c r="U56" s="50">
        <v>0</v>
      </c>
      <c r="V56" s="50">
        <v>25711424</v>
      </c>
      <c r="W56" s="50">
        <v>8976910</v>
      </c>
      <c r="X56" s="50">
        <v>25711424</v>
      </c>
      <c r="Y56" s="50">
        <v>25711424</v>
      </c>
      <c r="Z56" s="50">
        <v>25711424</v>
      </c>
      <c r="AA56" s="50">
        <v>25711424</v>
      </c>
    </row>
    <row r="57" spans="1:31" x14ac:dyDescent="0.25">
      <c r="A57" s="47" t="s">
        <v>0</v>
      </c>
      <c r="B57" s="48" t="s">
        <v>0</v>
      </c>
      <c r="C57" s="49" t="s">
        <v>0</v>
      </c>
      <c r="D57" s="47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47" t="s">
        <v>0</v>
      </c>
      <c r="M57" s="47" t="s">
        <v>0</v>
      </c>
      <c r="N57" s="47" t="s">
        <v>0</v>
      </c>
      <c r="O57" s="47" t="s">
        <v>0</v>
      </c>
      <c r="P57" s="48" t="s">
        <v>0</v>
      </c>
      <c r="Q57" s="50">
        <v>32180998728</v>
      </c>
      <c r="R57" s="50">
        <v>2330353940</v>
      </c>
      <c r="S57" s="50">
        <v>3177437287</v>
      </c>
      <c r="T57" s="50">
        <v>31333915381</v>
      </c>
      <c r="U57" s="50">
        <v>0</v>
      </c>
      <c r="V57" s="50">
        <v>30586107570.459999</v>
      </c>
      <c r="W57" s="50">
        <v>747807810.53999996</v>
      </c>
      <c r="X57" s="50">
        <v>30586107570.459999</v>
      </c>
      <c r="Y57" s="50">
        <v>30156616300.119999</v>
      </c>
      <c r="Z57" s="50">
        <v>30067924595.849998</v>
      </c>
      <c r="AA57" s="50">
        <v>30067924595.849998</v>
      </c>
    </row>
    <row r="58" spans="1:31" x14ac:dyDescent="0.25">
      <c r="A58" s="40" t="s">
        <v>0</v>
      </c>
      <c r="B58" s="43" t="s">
        <v>0</v>
      </c>
      <c r="C58" s="42" t="s">
        <v>0</v>
      </c>
      <c r="D58" s="40" t="s">
        <v>0</v>
      </c>
      <c r="E58" s="40" t="s">
        <v>0</v>
      </c>
      <c r="F58" s="40" t="s">
        <v>0</v>
      </c>
      <c r="G58" s="40" t="s">
        <v>0</v>
      </c>
      <c r="H58" s="40" t="s">
        <v>0</v>
      </c>
      <c r="I58" s="40" t="s">
        <v>0</v>
      </c>
      <c r="J58" s="40" t="s">
        <v>0</v>
      </c>
      <c r="K58" s="40" t="s">
        <v>0</v>
      </c>
      <c r="L58" s="40" t="s">
        <v>0</v>
      </c>
      <c r="M58" s="40" t="s">
        <v>0</v>
      </c>
      <c r="N58" s="40" t="s">
        <v>0</v>
      </c>
      <c r="O58" s="40" t="s">
        <v>0</v>
      </c>
      <c r="P58" s="41" t="s">
        <v>0</v>
      </c>
      <c r="Q58" s="44" t="s">
        <v>0</v>
      </c>
      <c r="R58" s="44" t="s">
        <v>0</v>
      </c>
      <c r="S58" s="44" t="s">
        <v>0</v>
      </c>
      <c r="T58" s="44" t="s">
        <v>0</v>
      </c>
      <c r="U58" s="44" t="s">
        <v>0</v>
      </c>
      <c r="V58" s="44" t="s">
        <v>0</v>
      </c>
      <c r="W58" s="44" t="s">
        <v>0</v>
      </c>
      <c r="X58" s="44" t="s">
        <v>0</v>
      </c>
      <c r="Y58" s="44" t="s">
        <v>0</v>
      </c>
      <c r="Z58" s="44" t="s">
        <v>0</v>
      </c>
      <c r="AA58" s="44" t="s">
        <v>0</v>
      </c>
    </row>
    <row r="59" spans="1:31" ht="33.950000000000003" customHeight="1" x14ac:dyDescent="0.25">
      <c r="Q59" s="37">
        <f>+Q57-Noviembre!C86</f>
        <v>-4010964000</v>
      </c>
      <c r="R59" s="37">
        <f>+R57-Noviembre!D86</f>
        <v>-280504000</v>
      </c>
      <c r="S59" s="37">
        <f>+S57-Noviembre!E86</f>
        <v>566579347</v>
      </c>
      <c r="T59" s="37">
        <f>+T57-Noviembre!F86</f>
        <v>-4858047347</v>
      </c>
      <c r="U59" s="37">
        <f>+U57-Noviembre!G86</f>
        <v>-2861504000</v>
      </c>
      <c r="V59" s="37">
        <f>+V57-Noviembre!H86</f>
        <v>-578352597.75999832</v>
      </c>
      <c r="W59" s="37">
        <f>+W57-Noviembre!I86</f>
        <v>-1418190749.2400017</v>
      </c>
      <c r="X59" s="37">
        <f>+X57-Noviembre!J86</f>
        <v>3107791093.2200012</v>
      </c>
      <c r="Y59" s="37">
        <f>+Y57-Noviembre!K86</f>
        <v>6311865849.0999985</v>
      </c>
      <c r="Z59" s="37">
        <f>+Z57-Noviembre!L86</f>
        <v>6223174144.829998</v>
      </c>
      <c r="AA59" s="37">
        <f>+AA57-Noviembre!M86</f>
        <v>6223174144.829998</v>
      </c>
    </row>
    <row r="61" spans="1:31" x14ac:dyDescent="0.25">
      <c r="Q61" s="37">
        <f>+Q59+Agosto!C55+Agosto!C58+Agosto!C37+Agosto!C64+Agosto!C36</f>
        <v>20000000</v>
      </c>
      <c r="R61" s="37">
        <f>+R59+Agosto!D55+Agosto!D58+Agosto!D37+Agosto!D64+Agosto!D36</f>
        <v>146000000</v>
      </c>
      <c r="S61" s="37">
        <f>+S59+Agosto!E55+Agosto!E58+Agosto!E37+Agosto!E64+Agosto!E36</f>
        <v>993083347</v>
      </c>
      <c r="T61" s="37">
        <f>+T59+Agosto!F55+Agosto!F58+Agosto!F37+Agosto!F64+Agosto!F36</f>
        <v>-827083347</v>
      </c>
      <c r="U61" s="37">
        <f>+U59+Agosto!G55+Agosto!G58+Agosto!G37+Agosto!G64+Agosto!G36</f>
        <v>-426504000</v>
      </c>
      <c r="V61" s="37">
        <f>+V59+Agosto!H55+Agosto!H58+Agosto!H37+Agosto!H64+Agosto!H36</f>
        <v>-578352597.75999832</v>
      </c>
      <c r="W61" s="37">
        <f>+W59+Agosto!I55+Agosto!I58+Agosto!I37+Agosto!I64+Agosto!I36</f>
        <v>177773250.75999832</v>
      </c>
      <c r="X61" s="37">
        <f>+X59+Agosto!J55+Agosto!J58+Agosto!J37+Agosto!J64+Agosto!J36</f>
        <v>3107791093.2200012</v>
      </c>
      <c r="Y61" s="37">
        <f>+Y59+Agosto!K55+Agosto!K58+Agosto!K37+Agosto!K64+Agosto!K36</f>
        <v>6311865849.0999985</v>
      </c>
      <c r="Z61" s="37">
        <f>+Z59+Agosto!L55+Agosto!L58+Agosto!L37+Agosto!L64+Agosto!L36</f>
        <v>6223174144.829998</v>
      </c>
      <c r="AA61" s="37">
        <f>+AA59+Agosto!M55+Agosto!M58+Agosto!M37+Agosto!M64+Agosto!M36</f>
        <v>6223174144.829998</v>
      </c>
    </row>
    <row r="63" spans="1:31" x14ac:dyDescent="0.25">
      <c r="Q63" s="37">
        <f>+Q57-Noviembre!C86</f>
        <v>-4010964000</v>
      </c>
      <c r="R63" s="37">
        <f>+R57-Noviembre!D86</f>
        <v>-280504000</v>
      </c>
      <c r="S63" s="37">
        <f>+S57-Noviembre!E86</f>
        <v>566579347</v>
      </c>
      <c r="T63" s="37">
        <f>+T57-Noviembre!F86</f>
        <v>-4858047347</v>
      </c>
      <c r="U63" s="37">
        <f>+U57-Noviembre!G86</f>
        <v>-2861504000</v>
      </c>
      <c r="V63" s="37">
        <f>+V57-Noviembre!H86</f>
        <v>-578352597.75999832</v>
      </c>
      <c r="W63" s="37">
        <f>+W57-Noviembre!I86</f>
        <v>-1418190749.2400017</v>
      </c>
      <c r="X63" s="37">
        <f>+X57-Noviembre!J86</f>
        <v>3107791093.2200012</v>
      </c>
      <c r="Y63" s="37">
        <f>+Y57-Noviembre!K86</f>
        <v>6311865849.0999985</v>
      </c>
      <c r="Z63" s="37">
        <f>+Z57-Noviembre!L86</f>
        <v>6223174144.829998</v>
      </c>
      <c r="AA63" s="37">
        <f>+AA57-Noviembre!M86</f>
        <v>6223174144.829998</v>
      </c>
    </row>
    <row r="68" spans="17:27" x14ac:dyDescent="0.25">
      <c r="Q68" s="36">
        <v>-4030964000</v>
      </c>
      <c r="R68" s="36">
        <v>-426504000</v>
      </c>
      <c r="S68" s="36">
        <v>-426504000</v>
      </c>
      <c r="T68" s="36">
        <v>-4030964000</v>
      </c>
      <c r="U68" s="36">
        <v>-2435000000</v>
      </c>
      <c r="V68" s="36">
        <v>0</v>
      </c>
      <c r="W68" s="36">
        <v>-1595963999.9999993</v>
      </c>
      <c r="X68" s="36">
        <v>0</v>
      </c>
      <c r="Y68" s="36">
        <v>0</v>
      </c>
      <c r="Z68" s="36">
        <v>0</v>
      </c>
      <c r="AA68" s="36">
        <v>0</v>
      </c>
    </row>
    <row r="70" spans="17:27" x14ac:dyDescent="0.25"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6">
        <v>0</v>
      </c>
      <c r="W70" s="36">
        <v>7.152557373046875E-7</v>
      </c>
      <c r="X70" s="36">
        <v>0</v>
      </c>
      <c r="Y70" s="36">
        <v>0</v>
      </c>
      <c r="Z70" s="36">
        <v>0</v>
      </c>
      <c r="AA70" s="36">
        <v>0</v>
      </c>
    </row>
    <row r="72" spans="17:27" x14ac:dyDescent="0.25">
      <c r="Q72" s="36">
        <v>-4030964000</v>
      </c>
      <c r="R72" s="36">
        <v>-426504000</v>
      </c>
      <c r="S72" s="36">
        <v>-426504000</v>
      </c>
      <c r="T72" s="36">
        <v>-4030964000</v>
      </c>
      <c r="U72" s="36">
        <v>-2435000000</v>
      </c>
      <c r="V72" s="36">
        <v>0</v>
      </c>
      <c r="W72" s="36">
        <v>-1595963999.9999993</v>
      </c>
      <c r="X72" s="36">
        <v>0</v>
      </c>
      <c r="Y72" s="36">
        <v>0</v>
      </c>
      <c r="Z72" s="36">
        <v>0</v>
      </c>
      <c r="AA72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8"/>
  <sheetViews>
    <sheetView showGridLines="0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D56" sqref="D56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" style="1" customWidth="1"/>
    <col min="6" max="6" width="14.85546875" style="1" customWidth="1"/>
    <col min="7" max="7" width="14.140625" style="1" customWidth="1"/>
    <col min="8" max="9" width="14.85546875" style="1" customWidth="1"/>
    <col min="10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0" t="s">
        <v>22</v>
      </c>
      <c r="B5" s="60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22029417940.98</v>
      </c>
      <c r="I5" s="7">
        <f t="shared" si="0"/>
        <v>4301040787.0200005</v>
      </c>
      <c r="J5" s="7">
        <f t="shared" si="0"/>
        <v>7710363093.8699999</v>
      </c>
      <c r="K5" s="7">
        <f t="shared" si="0"/>
        <v>4555099458.29</v>
      </c>
      <c r="L5" s="7">
        <f t="shared" si="0"/>
        <v>4430434204.29</v>
      </c>
      <c r="M5" s="7">
        <f t="shared" si="0"/>
        <v>4424888547.29</v>
      </c>
      <c r="N5" s="9">
        <f>+J5/F5</f>
        <v>0.26412623110382588</v>
      </c>
      <c r="O5" s="10">
        <f>+K5/F5</f>
        <v>0.15603950651529483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1999510240</v>
      </c>
      <c r="K6" s="7">
        <f t="shared" si="1"/>
        <v>1999510240</v>
      </c>
      <c r="L6" s="7">
        <f t="shared" si="1"/>
        <v>1999510240</v>
      </c>
      <c r="M6" s="7">
        <f t="shared" si="1"/>
        <v>1999510240</v>
      </c>
      <c r="N6" s="9">
        <f>+J6/F6</f>
        <v>0.12834495043355595</v>
      </c>
      <c r="O6" s="10">
        <f>+K6/F6</f>
        <v>0.12834495043355595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1999510240</v>
      </c>
      <c r="K7" s="18">
        <f>+K8+K20+K30</f>
        <v>1999510240</v>
      </c>
      <c r="L7" s="18">
        <f>+L8+L20+L30</f>
        <v>1999510240</v>
      </c>
      <c r="M7" s="18">
        <f>+M8+M20+M30</f>
        <v>1999510240</v>
      </c>
      <c r="N7" s="20">
        <f>+J7/F7</f>
        <v>0.13195748740239766</v>
      </c>
      <c r="O7" s="20">
        <f>+K7/F7</f>
        <v>0.13195748740239766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1343426262</v>
      </c>
      <c r="K8" s="18">
        <f>+K9</f>
        <v>1343426262</v>
      </c>
      <c r="L8" s="18">
        <f>+L9</f>
        <v>1343426262</v>
      </c>
      <c r="M8" s="18">
        <f>+M9</f>
        <v>1343426262</v>
      </c>
      <c r="N8" s="20">
        <f t="shared" ref="N8:N85" si="4">+J8/F8</f>
        <v>0.12814965324244049</v>
      </c>
      <c r="O8" s="20">
        <f t="shared" ref="O8:O85" si="5">+K8/F8</f>
        <v>0.12814965324244049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1343426262</v>
      </c>
      <c r="K9" s="18">
        <f>SUM(K10:K19)</f>
        <v>1343426262</v>
      </c>
      <c r="L9" s="18">
        <f>SUM(L10:L19)</f>
        <v>1343426262</v>
      </c>
      <c r="M9" s="18">
        <f>SUM(M10:M19)</f>
        <v>1343426262</v>
      </c>
      <c r="N9" s="20">
        <f t="shared" si="4"/>
        <v>0.12814965324244049</v>
      </c>
      <c r="O9" s="20">
        <f t="shared" si="5"/>
        <v>0.12814965324244049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1196619976</v>
      </c>
      <c r="K10" s="13">
        <v>1196619976</v>
      </c>
      <c r="L10" s="13">
        <v>1196619976</v>
      </c>
      <c r="M10" s="13">
        <v>1196619976</v>
      </c>
      <c r="N10" s="15">
        <f t="shared" si="4"/>
        <v>0.15615554952368524</v>
      </c>
      <c r="O10" s="15">
        <f t="shared" si="5"/>
        <v>0.15615554952368524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11283086</v>
      </c>
      <c r="K11" s="13">
        <v>11283086</v>
      </c>
      <c r="L11" s="13">
        <v>11283086</v>
      </c>
      <c r="M11" s="13">
        <v>11283086</v>
      </c>
      <c r="N11" s="15">
        <f t="shared" si="4"/>
        <v>0.15456282191780821</v>
      </c>
      <c r="O11" s="15">
        <f t="shared" si="5"/>
        <v>0.15456282191780821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47548169</v>
      </c>
      <c r="K12" s="13">
        <v>47548169</v>
      </c>
      <c r="L12" s="13">
        <v>47548169</v>
      </c>
      <c r="M12" s="13">
        <v>47548169</v>
      </c>
      <c r="N12" s="15">
        <f t="shared" si="4"/>
        <v>7.4294014062499997E-2</v>
      </c>
      <c r="O12" s="15">
        <f t="shared" si="5"/>
        <v>7.4294014062499997E-2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1999650</v>
      </c>
      <c r="K13" s="13">
        <v>1999650</v>
      </c>
      <c r="L13" s="13">
        <v>1999650</v>
      </c>
      <c r="M13" s="13">
        <v>1999650</v>
      </c>
      <c r="N13" s="15">
        <f t="shared" si="4"/>
        <v>0.14283214285714285</v>
      </c>
      <c r="O13" s="15">
        <f t="shared" si="5"/>
        <v>0.14283214285714285</v>
      </c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0</v>
      </c>
      <c r="K15" s="13">
        <v>0</v>
      </c>
      <c r="L15" s="13">
        <v>0</v>
      </c>
      <c r="M15" s="13">
        <v>0</v>
      </c>
      <c r="N15" s="15">
        <f t="shared" si="4"/>
        <v>0</v>
      </c>
      <c r="O15" s="15">
        <f t="shared" si="5"/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69066982</v>
      </c>
      <c r="K16" s="13">
        <v>69066982</v>
      </c>
      <c r="L16" s="13">
        <v>69066982</v>
      </c>
      <c r="M16" s="13">
        <v>69066982</v>
      </c>
      <c r="N16" s="15">
        <f t="shared" si="4"/>
        <v>0.24065150522648085</v>
      </c>
      <c r="O16" s="15">
        <f t="shared" si="5"/>
        <v>0.24065150522648085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3915028</v>
      </c>
      <c r="K17" s="13">
        <v>3915028</v>
      </c>
      <c r="L17" s="13">
        <v>3915028</v>
      </c>
      <c r="M17" s="13">
        <v>3915028</v>
      </c>
      <c r="N17" s="15">
        <f t="shared" si="4"/>
        <v>6.5250466666666673E-2</v>
      </c>
      <c r="O17" s="15">
        <f t="shared" si="5"/>
        <v>6.5250466666666673E-2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0</v>
      </c>
      <c r="K18" s="13">
        <v>0</v>
      </c>
      <c r="L18" s="13">
        <v>0</v>
      </c>
      <c r="M18" s="13">
        <v>0</v>
      </c>
      <c r="N18" s="15">
        <f t="shared" si="4"/>
        <v>0</v>
      </c>
      <c r="O18" s="15">
        <f t="shared" si="5"/>
        <v>0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12993371</v>
      </c>
      <c r="K19" s="13">
        <v>12993371</v>
      </c>
      <c r="L19" s="13">
        <v>12993371</v>
      </c>
      <c r="M19" s="13">
        <v>12993371</v>
      </c>
      <c r="N19" s="15">
        <f t="shared" si="4"/>
        <v>2.6666141964983858E-2</v>
      </c>
      <c r="O19" s="15">
        <f t="shared" si="5"/>
        <v>2.6666141964983858E-2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558274190</v>
      </c>
      <c r="K20" s="18">
        <f t="shared" ref="K20:M20" si="9">SUM(K21:K29)</f>
        <v>558274190</v>
      </c>
      <c r="L20" s="18">
        <f t="shared" si="9"/>
        <v>558274190</v>
      </c>
      <c r="M20" s="18">
        <f t="shared" si="9"/>
        <v>558274190</v>
      </c>
      <c r="N20" s="20">
        <f t="shared" si="4"/>
        <v>0.14059963492270566</v>
      </c>
      <c r="O20" s="20">
        <f t="shared" si="5"/>
        <v>0.14059963492270566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174620538</v>
      </c>
      <c r="K21" s="13">
        <v>174620538</v>
      </c>
      <c r="L21" s="13">
        <v>174620538</v>
      </c>
      <c r="M21" s="13">
        <v>174620538</v>
      </c>
      <c r="N21" s="15">
        <f t="shared" si="4"/>
        <v>0.14543639779922143</v>
      </c>
      <c r="O21" s="15">
        <f t="shared" si="5"/>
        <v>0.14543639779922143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123689538</v>
      </c>
      <c r="K22" s="13">
        <v>123689538</v>
      </c>
      <c r="L22" s="13">
        <v>123689538</v>
      </c>
      <c r="M22" s="13">
        <v>123689538</v>
      </c>
      <c r="N22" s="15">
        <f t="shared" si="4"/>
        <v>0.15857633076923078</v>
      </c>
      <c r="O22" s="15">
        <f t="shared" si="5"/>
        <v>0.15857633076923078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122614314</v>
      </c>
      <c r="K23" s="13">
        <v>122614314</v>
      </c>
      <c r="L23" s="13">
        <v>122614314</v>
      </c>
      <c r="M23" s="13">
        <v>122614314</v>
      </c>
      <c r="N23" s="15">
        <f t="shared" si="4"/>
        <v>0.13327642826086958</v>
      </c>
      <c r="O23" s="15">
        <f t="shared" si="5"/>
        <v>0.13327642826086958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57476800</v>
      </c>
      <c r="K24" s="13">
        <v>57476800</v>
      </c>
      <c r="L24" s="13">
        <v>57476800</v>
      </c>
      <c r="M24" s="13">
        <v>57476800</v>
      </c>
      <c r="N24" s="15">
        <f t="shared" si="4"/>
        <v>0.13684952380952381</v>
      </c>
      <c r="O24" s="15">
        <f t="shared" si="5"/>
        <v>0.13684952380952381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7989200</v>
      </c>
      <c r="K25" s="13">
        <v>7989200</v>
      </c>
      <c r="L25" s="13">
        <v>7989200</v>
      </c>
      <c r="M25" s="13">
        <v>7989200</v>
      </c>
      <c r="N25" s="15">
        <f t="shared" si="4"/>
        <v>0.11413142857142858</v>
      </c>
      <c r="O25" s="15">
        <f t="shared" si="5"/>
        <v>0.11413142857142858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43108200</v>
      </c>
      <c r="K26" s="13">
        <v>43108200</v>
      </c>
      <c r="L26" s="13">
        <v>43108200</v>
      </c>
      <c r="M26" s="13">
        <v>43108200</v>
      </c>
      <c r="N26" s="15">
        <f t="shared" si="4"/>
        <v>0.13471312499999999</v>
      </c>
      <c r="O26" s="15">
        <f t="shared" si="5"/>
        <v>0.13471312499999999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7197300</v>
      </c>
      <c r="K27" s="13">
        <v>7197300</v>
      </c>
      <c r="L27" s="13">
        <v>7197300</v>
      </c>
      <c r="M27" s="13">
        <v>7197300</v>
      </c>
      <c r="N27" s="15">
        <f t="shared" si="4"/>
        <v>0.10281857142857143</v>
      </c>
      <c r="O27" s="15">
        <f t="shared" si="5"/>
        <v>0.10281857142857143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7197300</v>
      </c>
      <c r="K28" s="13">
        <v>7197300</v>
      </c>
      <c r="L28" s="13">
        <v>7197300</v>
      </c>
      <c r="M28" s="13">
        <v>7197300</v>
      </c>
      <c r="N28" s="15">
        <f t="shared" si="4"/>
        <v>0.10281857142857143</v>
      </c>
      <c r="O28" s="15">
        <f t="shared" si="5"/>
        <v>0.10281857142857143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14381000</v>
      </c>
      <c r="K29" s="13">
        <v>14381000</v>
      </c>
      <c r="L29" s="13">
        <v>14381000</v>
      </c>
      <c r="M29" s="13">
        <v>14381000</v>
      </c>
      <c r="N29" s="15">
        <f t="shared" si="4"/>
        <v>0.11984166666666667</v>
      </c>
      <c r="O29" s="15">
        <f t="shared" si="5"/>
        <v>0.11984166666666667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97809788</v>
      </c>
      <c r="K30" s="18">
        <f t="shared" ref="K30:M30" si="13">SUM(K31:K35)</f>
        <v>97809788</v>
      </c>
      <c r="L30" s="18">
        <f t="shared" si="13"/>
        <v>97809788</v>
      </c>
      <c r="M30" s="18">
        <f t="shared" si="13"/>
        <v>97809788</v>
      </c>
      <c r="N30" s="20">
        <f t="shared" si="4"/>
        <v>0.13997662710122818</v>
      </c>
      <c r="O30" s="20">
        <f t="shared" si="5"/>
        <v>0.13997662710122818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18884445</v>
      </c>
      <c r="K31" s="13">
        <v>18884445</v>
      </c>
      <c r="L31" s="13">
        <v>18884445</v>
      </c>
      <c r="M31" s="13">
        <v>18884445</v>
      </c>
      <c r="N31" s="15">
        <f t="shared" si="4"/>
        <v>6.4175441136290423E-2</v>
      </c>
      <c r="O31" s="15">
        <f t="shared" si="5"/>
        <v>6.4175441136290423E-2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30040518</v>
      </c>
      <c r="K32" s="13">
        <v>30040518</v>
      </c>
      <c r="L32" s="13">
        <v>30040518</v>
      </c>
      <c r="M32" s="13">
        <v>30040518</v>
      </c>
      <c r="N32" s="15">
        <f t="shared" si="4"/>
        <v>0.50067530000000005</v>
      </c>
      <c r="O32" s="15">
        <f t="shared" si="5"/>
        <v>0.50067530000000005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1615247</v>
      </c>
      <c r="K33" s="13">
        <v>1615247</v>
      </c>
      <c r="L33" s="13">
        <v>1615247</v>
      </c>
      <c r="M33" s="13">
        <v>1615247</v>
      </c>
      <c r="N33" s="15">
        <f t="shared" si="4"/>
        <v>3.3970299986540144E-2</v>
      </c>
      <c r="O33" s="15">
        <f t="shared" si="5"/>
        <v>3.3970299986540144E-2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32130127</v>
      </c>
      <c r="K34" s="13">
        <v>32130127</v>
      </c>
      <c r="L34" s="13">
        <v>32130127</v>
      </c>
      <c r="M34" s="13">
        <v>32130127</v>
      </c>
      <c r="N34" s="15">
        <f t="shared" si="4"/>
        <v>0.20870983017465819</v>
      </c>
      <c r="O34" s="15">
        <f t="shared" si="5"/>
        <v>0.20870983017465819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15139451</v>
      </c>
      <c r="K35" s="13">
        <v>15139451</v>
      </c>
      <c r="L35" s="13">
        <v>15139451</v>
      </c>
      <c r="M35" s="13">
        <v>15139451</v>
      </c>
      <c r="N35" s="15">
        <f t="shared" si="4"/>
        <v>0.10587028671328672</v>
      </c>
      <c r="O35" s="15">
        <f t="shared" si="5"/>
        <v>0.10587028671328672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6776872940.9799995</v>
      </c>
      <c r="I37" s="8">
        <f t="shared" si="14"/>
        <v>3120880787.0200005</v>
      </c>
      <c r="J37" s="8">
        <f t="shared" si="14"/>
        <v>5699944353.8699999</v>
      </c>
      <c r="K37" s="8">
        <f t="shared" si="14"/>
        <v>2544680718.29</v>
      </c>
      <c r="L37" s="8">
        <f t="shared" si="14"/>
        <v>2420015464.29</v>
      </c>
      <c r="M37" s="8">
        <f t="shared" si="14"/>
        <v>2414469807.29</v>
      </c>
      <c r="N37" s="9">
        <f t="shared" si="4"/>
        <v>0.57588262049249483</v>
      </c>
      <c r="O37" s="10">
        <f t="shared" si="5"/>
        <v>0.25709679066789565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5635500</v>
      </c>
      <c r="I38" s="19">
        <f t="shared" ref="I38:I63" si="18">+F38-G38-H38</f>
        <v>129364500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5635500</v>
      </c>
      <c r="I39" s="19">
        <f t="shared" si="18"/>
        <v>129364500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5635500</v>
      </c>
      <c r="I41" s="14">
        <f t="shared" si="18"/>
        <v>89364500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6771237440.9799995</v>
      </c>
      <c r="I42" s="19">
        <f t="shared" si="18"/>
        <v>2991516287.0200005</v>
      </c>
      <c r="J42" s="18">
        <f t="shared" ref="J42:M42" si="25">+J43+J47</f>
        <v>5696751917.0699997</v>
      </c>
      <c r="K42" s="18">
        <f t="shared" si="25"/>
        <v>2544680718.29</v>
      </c>
      <c r="L42" s="18">
        <f t="shared" si="25"/>
        <v>2420015464.29</v>
      </c>
      <c r="M42" s="18">
        <f t="shared" si="25"/>
        <v>2414469807.29</v>
      </c>
      <c r="N42" s="20">
        <f t="shared" si="4"/>
        <v>0.58351896153351368</v>
      </c>
      <c r="O42" s="20">
        <f t="shared" si="5"/>
        <v>0.2606519419814663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25800000</v>
      </c>
      <c r="I43" s="19">
        <f t="shared" si="18"/>
        <v>66200000</v>
      </c>
      <c r="J43" s="18">
        <f t="shared" ref="J43" si="27">SUM(J44:J46)</f>
        <v>25800000</v>
      </c>
      <c r="K43" s="18">
        <f t="shared" ref="K43:M43" si="28">SUM(K44:K46)</f>
        <v>2875533</v>
      </c>
      <c r="L43" s="18">
        <f t="shared" si="28"/>
        <v>2875533</v>
      </c>
      <c r="M43" s="18">
        <f t="shared" si="28"/>
        <v>2875533</v>
      </c>
      <c r="N43" s="20">
        <f t="shared" si="4"/>
        <v>0.28043478260869564</v>
      </c>
      <c r="O43" s="20">
        <f t="shared" si="5"/>
        <v>3.1255793478260872E-2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200000</v>
      </c>
      <c r="I44" s="14">
        <f t="shared" si="18"/>
        <v>14800000</v>
      </c>
      <c r="J44" s="13">
        <v>200000</v>
      </c>
      <c r="K44" s="13">
        <v>200000</v>
      </c>
      <c r="L44" s="13">
        <v>200000</v>
      </c>
      <c r="M44" s="13">
        <v>200000</v>
      </c>
      <c r="N44" s="15">
        <f t="shared" si="4"/>
        <v>1.3333333333333334E-2</v>
      </c>
      <c r="O44" s="15">
        <f t="shared" si="5"/>
        <v>1.3333333333333334E-2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25600000</v>
      </c>
      <c r="I45" s="14">
        <f t="shared" si="18"/>
        <v>19400000</v>
      </c>
      <c r="J45" s="13">
        <v>25600000</v>
      </c>
      <c r="K45" s="13">
        <v>2675533</v>
      </c>
      <c r="L45" s="13">
        <v>2675533</v>
      </c>
      <c r="M45" s="13">
        <v>2675533</v>
      </c>
      <c r="N45" s="15">
        <f t="shared" si="4"/>
        <v>0.56888888888888889</v>
      </c>
      <c r="O45" s="15">
        <f t="shared" si="5"/>
        <v>5.9456288888888889E-2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0</v>
      </c>
      <c r="I46" s="14">
        <f t="shared" si="18"/>
        <v>32000000</v>
      </c>
      <c r="J46" s="13">
        <v>0</v>
      </c>
      <c r="K46" s="13">
        <v>0</v>
      </c>
      <c r="L46" s="13">
        <v>0</v>
      </c>
      <c r="M46" s="13">
        <v>0</v>
      </c>
      <c r="N46" s="15">
        <f t="shared" si="4"/>
        <v>0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6745437440.9799995</v>
      </c>
      <c r="I47" s="19">
        <f t="shared" si="18"/>
        <v>2925316287.0200005</v>
      </c>
      <c r="J47" s="18">
        <f t="shared" ref="J47:M47" si="31">SUM(J48:J52)</f>
        <v>5670951917.0699997</v>
      </c>
      <c r="K47" s="18">
        <f t="shared" si="31"/>
        <v>2541805185.29</v>
      </c>
      <c r="L47" s="18">
        <f t="shared" si="31"/>
        <v>2417139931.29</v>
      </c>
      <c r="M47" s="18">
        <f t="shared" si="31"/>
        <v>2411594274.29</v>
      </c>
      <c r="N47" s="20">
        <f t="shared" si="4"/>
        <v>0.58640226776230853</v>
      </c>
      <c r="O47" s="20">
        <f t="shared" si="5"/>
        <v>0.26283423782477694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941555308</v>
      </c>
      <c r="I48" s="14">
        <f t="shared" si="18"/>
        <v>251444692</v>
      </c>
      <c r="J48" s="27">
        <v>242217119</v>
      </c>
      <c r="K48" s="27">
        <v>118068405</v>
      </c>
      <c r="L48" s="27">
        <v>44092631</v>
      </c>
      <c r="M48" s="27">
        <v>43050831</v>
      </c>
      <c r="N48" s="15">
        <f t="shared" si="4"/>
        <v>0.20303195222129086</v>
      </c>
      <c r="O48" s="15">
        <f t="shared" si="5"/>
        <v>9.8967648784576701E-2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2282914306</v>
      </c>
      <c r="L49" s="27">
        <v>2282914306</v>
      </c>
      <c r="M49" s="27">
        <v>2282914306</v>
      </c>
      <c r="N49" s="15">
        <f t="shared" si="4"/>
        <v>0.84362895453834108</v>
      </c>
      <c r="O49" s="15">
        <f t="shared" si="5"/>
        <v>0.45422538493948467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1258333461.98</v>
      </c>
      <c r="I50" s="14">
        <f t="shared" si="18"/>
        <v>1029223518.02</v>
      </c>
      <c r="J50" s="27">
        <v>1115280091.0699999</v>
      </c>
      <c r="K50" s="27">
        <v>67405143.290000007</v>
      </c>
      <c r="L50" s="27">
        <v>16715663.289999999</v>
      </c>
      <c r="M50" s="27">
        <v>16715663.289999999</v>
      </c>
      <c r="N50" s="15">
        <f t="shared" si="4"/>
        <v>0.4875419938479521</v>
      </c>
      <c r="O50" s="15">
        <f t="shared" si="5"/>
        <v>2.9465995330092282E-2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2114510</v>
      </c>
      <c r="K51" s="27">
        <v>2114510</v>
      </c>
      <c r="L51" s="27">
        <v>2114510</v>
      </c>
      <c r="M51" s="27">
        <v>2114510</v>
      </c>
      <c r="N51" s="15">
        <f t="shared" si="4"/>
        <v>2.4466522524721761E-3</v>
      </c>
      <c r="O51" s="15">
        <f t="shared" si="5"/>
        <v>2.4466522524721761E-3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106360323</v>
      </c>
      <c r="I52" s="14">
        <f t="shared" si="18"/>
        <v>193639677</v>
      </c>
      <c r="J52" s="27">
        <v>71302821</v>
      </c>
      <c r="K52" s="27">
        <v>71302821</v>
      </c>
      <c r="L52" s="27">
        <v>71302821</v>
      </c>
      <c r="M52" s="27">
        <v>66798964</v>
      </c>
      <c r="N52" s="15">
        <f t="shared" si="4"/>
        <v>0.23767606999999999</v>
      </c>
      <c r="O52" s="15">
        <f t="shared" si="5"/>
        <v>0.23767606999999999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10908500</v>
      </c>
      <c r="K53" s="8">
        <f t="shared" si="33"/>
        <v>10908500</v>
      </c>
      <c r="L53" s="8">
        <f t="shared" si="33"/>
        <v>10908500</v>
      </c>
      <c r="M53" s="8">
        <f t="shared" si="33"/>
        <v>10908500</v>
      </c>
      <c r="N53" s="9">
        <f t="shared" si="4"/>
        <v>2.9891870266241381E-3</v>
      </c>
      <c r="O53" s="10">
        <f t="shared" si="5"/>
        <v>2.9891870266241381E-3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9281565</v>
      </c>
      <c r="K55" s="13">
        <v>9281565</v>
      </c>
      <c r="L55" s="13">
        <v>9281565</v>
      </c>
      <c r="M55" s="13">
        <v>9281565</v>
      </c>
      <c r="N55" s="15">
        <f t="shared" si="4"/>
        <v>0.11622295266716755</v>
      </c>
      <c r="O55" s="15">
        <f t="shared" si="5"/>
        <v>0.11622295266716755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ref="F56" si="36">+C56+D56-E56</f>
        <v>20000000</v>
      </c>
      <c r="G56" s="13">
        <v>0</v>
      </c>
      <c r="H56" s="13">
        <v>20000000</v>
      </c>
      <c r="I56" s="14">
        <f t="shared" ref="I56" si="37">+F56-G56-H56</f>
        <v>0</v>
      </c>
      <c r="J56" s="13">
        <v>1626935</v>
      </c>
      <c r="K56" s="13">
        <v>1626935</v>
      </c>
      <c r="L56" s="13">
        <v>1626935</v>
      </c>
      <c r="M56" s="13">
        <v>1626935</v>
      </c>
      <c r="N56" s="15">
        <f t="shared" ref="N56" si="38">+J56/F56</f>
        <v>8.1346749999999995E-2</v>
      </c>
      <c r="O56" s="15">
        <f t="shared" ref="O56" si="39">+K56/F56</f>
        <v>8.1346749999999995E-2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40">+D59+D63</f>
        <v>0</v>
      </c>
      <c r="E58" s="8">
        <f t="shared" si="40"/>
        <v>0</v>
      </c>
      <c r="F58" s="8">
        <f t="shared" si="40"/>
        <v>65700000</v>
      </c>
      <c r="G58" s="8">
        <f t="shared" si="40"/>
        <v>0</v>
      </c>
      <c r="H58" s="8">
        <f t="shared" si="40"/>
        <v>0</v>
      </c>
      <c r="I58" s="8">
        <f t="shared" si="40"/>
        <v>65700000</v>
      </c>
      <c r="J58" s="8">
        <f t="shared" si="40"/>
        <v>0</v>
      </c>
      <c r="K58" s="8">
        <f t="shared" si="40"/>
        <v>0</v>
      </c>
      <c r="L58" s="8">
        <f t="shared" si="40"/>
        <v>0</v>
      </c>
      <c r="M58" s="8">
        <f t="shared" si="40"/>
        <v>0</v>
      </c>
      <c r="N58" s="9">
        <f t="shared" si="4"/>
        <v>0</v>
      </c>
      <c r="O58" s="10">
        <f t="shared" si="5"/>
        <v>0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41">+D60</f>
        <v>0</v>
      </c>
      <c r="E59" s="18">
        <f t="shared" si="41"/>
        <v>0</v>
      </c>
      <c r="F59" s="19">
        <f t="shared" ref="F59:F61" si="42">+C59+D59-E59</f>
        <v>10700000</v>
      </c>
      <c r="G59" s="18">
        <f t="shared" ref="G59:H59" si="43">+G60</f>
        <v>0</v>
      </c>
      <c r="H59" s="18">
        <f t="shared" si="43"/>
        <v>0</v>
      </c>
      <c r="I59" s="19">
        <f t="shared" ref="I59:I61" si="44">+F59-G59-H59</f>
        <v>10700000</v>
      </c>
      <c r="J59" s="18">
        <f t="shared" ref="J59:M59" si="45">+J60</f>
        <v>0</v>
      </c>
      <c r="K59" s="18">
        <f t="shared" si="45"/>
        <v>0</v>
      </c>
      <c r="L59" s="18">
        <f t="shared" si="45"/>
        <v>0</v>
      </c>
      <c r="M59" s="18">
        <f t="shared" si="45"/>
        <v>0</v>
      </c>
      <c r="N59" s="20">
        <f t="shared" si="4"/>
        <v>0</v>
      </c>
      <c r="O59" s="20">
        <f t="shared" si="5"/>
        <v>0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6">SUM(D61:D62)</f>
        <v>0</v>
      </c>
      <c r="E60" s="18">
        <f t="shared" si="46"/>
        <v>0</v>
      </c>
      <c r="F60" s="19">
        <f t="shared" si="42"/>
        <v>10700000</v>
      </c>
      <c r="G60" s="18">
        <f t="shared" ref="G60:H60" si="47">SUM(G61:G62)</f>
        <v>0</v>
      </c>
      <c r="H60" s="18">
        <f t="shared" si="47"/>
        <v>0</v>
      </c>
      <c r="I60" s="19">
        <f t="shared" si="44"/>
        <v>10700000</v>
      </c>
      <c r="J60" s="18">
        <f t="shared" ref="J60:M60" si="48">SUM(J61:J62)</f>
        <v>0</v>
      </c>
      <c r="K60" s="18">
        <f t="shared" si="48"/>
        <v>0</v>
      </c>
      <c r="L60" s="18">
        <f t="shared" si="48"/>
        <v>0</v>
      </c>
      <c r="M60" s="18">
        <f t="shared" si="48"/>
        <v>0</v>
      </c>
      <c r="N60" s="20">
        <f t="shared" si="4"/>
        <v>0</v>
      </c>
      <c r="O60" s="20">
        <f t="shared" si="5"/>
        <v>0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42"/>
        <v>10350000</v>
      </c>
      <c r="G61" s="13">
        <v>0</v>
      </c>
      <c r="H61" s="13">
        <v>0</v>
      </c>
      <c r="I61" s="14">
        <f t="shared" si="44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0</v>
      </c>
      <c r="I62" s="14">
        <f t="shared" si="18"/>
        <v>350000</v>
      </c>
      <c r="J62" s="13">
        <v>0</v>
      </c>
      <c r="K62" s="13">
        <v>0</v>
      </c>
      <c r="L62" s="13">
        <v>0</v>
      </c>
      <c r="M62" s="13">
        <v>0</v>
      </c>
      <c r="N62" s="15">
        <f t="shared" si="4"/>
        <v>0</v>
      </c>
      <c r="O62" s="15">
        <f t="shared" si="5"/>
        <v>0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0" t="s">
        <v>24</v>
      </c>
      <c r="B64" s="60"/>
      <c r="C64" s="8">
        <f>+C65+C67+C71+C74+C79+C82</f>
        <v>7000000000</v>
      </c>
      <c r="D64" s="8">
        <f t="shared" ref="D64:M64" si="49">+D65+D67+D71+D74+D79+D82</f>
        <v>0</v>
      </c>
      <c r="E64" s="8">
        <f t="shared" si="49"/>
        <v>0</v>
      </c>
      <c r="F64" s="8">
        <f t="shared" si="49"/>
        <v>7000000000</v>
      </c>
      <c r="G64" s="8">
        <f t="shared" si="49"/>
        <v>0</v>
      </c>
      <c r="H64" s="8">
        <f t="shared" si="49"/>
        <v>393140000</v>
      </c>
      <c r="I64" s="8">
        <f t="shared" si="49"/>
        <v>6606860000</v>
      </c>
      <c r="J64" s="8">
        <f t="shared" si="49"/>
        <v>367700000</v>
      </c>
      <c r="K64" s="8">
        <f t="shared" si="49"/>
        <v>0</v>
      </c>
      <c r="L64" s="8">
        <f t="shared" si="49"/>
        <v>0</v>
      </c>
      <c r="M64" s="8">
        <f t="shared" si="49"/>
        <v>0</v>
      </c>
      <c r="N64" s="9">
        <f t="shared" si="4"/>
        <v>5.2528571428571431E-2</v>
      </c>
      <c r="O64" s="10">
        <f t="shared" si="5"/>
        <v>0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50">+D66</f>
        <v>0</v>
      </c>
      <c r="E65" s="18">
        <f t="shared" si="50"/>
        <v>0</v>
      </c>
      <c r="F65" s="18">
        <f t="shared" si="50"/>
        <v>200000000</v>
      </c>
      <c r="G65" s="18">
        <f t="shared" si="50"/>
        <v>0</v>
      </c>
      <c r="H65" s="18">
        <f t="shared" si="50"/>
        <v>0</v>
      </c>
      <c r="I65" s="18">
        <f t="shared" si="50"/>
        <v>200000000</v>
      </c>
      <c r="J65" s="18">
        <f t="shared" si="50"/>
        <v>0</v>
      </c>
      <c r="K65" s="18">
        <f t="shared" si="50"/>
        <v>0</v>
      </c>
      <c r="L65" s="18">
        <f t="shared" si="50"/>
        <v>0</v>
      </c>
      <c r="M65" s="18">
        <f t="shared" si="50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51">+C66+D66-E66</f>
        <v>200000000</v>
      </c>
      <c r="G66" s="13">
        <v>0</v>
      </c>
      <c r="H66" s="13">
        <v>0</v>
      </c>
      <c r="I66" s="14">
        <f t="shared" ref="I66" si="52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ref="N66" si="53">+J66/F66</f>
        <v>0</v>
      </c>
      <c r="O66" s="15">
        <f t="shared" ref="O66" si="54">+K66/F66</f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55">SUM(D68:D70)</f>
        <v>0</v>
      </c>
      <c r="E67" s="18">
        <f t="shared" si="55"/>
        <v>0</v>
      </c>
      <c r="F67" s="18">
        <f t="shared" si="55"/>
        <v>1045900000</v>
      </c>
      <c r="G67" s="18">
        <f t="shared" si="55"/>
        <v>0</v>
      </c>
      <c r="H67" s="18">
        <f t="shared" si="55"/>
        <v>0</v>
      </c>
      <c r="I67" s="18">
        <f t="shared" si="55"/>
        <v>1045900000</v>
      </c>
      <c r="J67" s="18">
        <f t="shared" si="55"/>
        <v>0</v>
      </c>
      <c r="K67" s="18">
        <f t="shared" si="55"/>
        <v>0</v>
      </c>
      <c r="L67" s="18">
        <f t="shared" si="55"/>
        <v>0</v>
      </c>
      <c r="M67" s="18">
        <f t="shared" si="55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6">+C68+D68-E68</f>
        <v>185900000</v>
      </c>
      <c r="G68" s="13">
        <v>0</v>
      </c>
      <c r="H68" s="13">
        <v>0</v>
      </c>
      <c r="I68" s="14">
        <f t="shared" ref="I68:I73" si="57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6"/>
        <v>120000000</v>
      </c>
      <c r="G69" s="13">
        <v>0</v>
      </c>
      <c r="H69" s="13">
        <v>0</v>
      </c>
      <c r="I69" s="14">
        <f t="shared" si="57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6"/>
        <v>740000000</v>
      </c>
      <c r="G70" s="13">
        <v>0</v>
      </c>
      <c r="H70" s="13">
        <v>0</v>
      </c>
      <c r="I70" s="14">
        <f t="shared" si="57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8">SUM(D72:D73)</f>
        <v>0</v>
      </c>
      <c r="E71" s="18">
        <f t="shared" si="58"/>
        <v>0</v>
      </c>
      <c r="F71" s="18">
        <f t="shared" si="58"/>
        <v>2825211185</v>
      </c>
      <c r="G71" s="18">
        <f t="shared" si="58"/>
        <v>0</v>
      </c>
      <c r="H71" s="18">
        <f t="shared" si="58"/>
        <v>35440000</v>
      </c>
      <c r="I71" s="18">
        <f t="shared" si="58"/>
        <v>2789771185</v>
      </c>
      <c r="J71" s="18">
        <f t="shared" si="58"/>
        <v>10000000</v>
      </c>
      <c r="K71" s="18">
        <f t="shared" si="58"/>
        <v>0</v>
      </c>
      <c r="L71" s="18">
        <f t="shared" si="58"/>
        <v>0</v>
      </c>
      <c r="M71" s="18">
        <f t="shared" si="58"/>
        <v>0</v>
      </c>
      <c r="N71" s="20">
        <f t="shared" si="4"/>
        <v>3.53955840649838E-3</v>
      </c>
      <c r="O71" s="20">
        <f t="shared" si="5"/>
        <v>0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6"/>
        <v>1900000000</v>
      </c>
      <c r="G72" s="13">
        <v>0</v>
      </c>
      <c r="H72" s="13">
        <v>35440000</v>
      </c>
      <c r="I72" s="14">
        <f t="shared" si="57"/>
        <v>1864560000</v>
      </c>
      <c r="J72" s="13">
        <v>10000000</v>
      </c>
      <c r="K72" s="13">
        <v>0</v>
      </c>
      <c r="L72" s="13">
        <v>0</v>
      </c>
      <c r="M72" s="13">
        <v>0</v>
      </c>
      <c r="N72" s="15">
        <f t="shared" si="4"/>
        <v>5.263157894736842E-3</v>
      </c>
      <c r="O72" s="15">
        <f t="shared" si="5"/>
        <v>0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6"/>
        <v>925211185</v>
      </c>
      <c r="G73" s="13">
        <v>0</v>
      </c>
      <c r="H73" s="13">
        <v>0</v>
      </c>
      <c r="I73" s="14">
        <f t="shared" si="57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9">SUM(D75:D78)</f>
        <v>0</v>
      </c>
      <c r="E74" s="18">
        <f t="shared" si="59"/>
        <v>0</v>
      </c>
      <c r="F74" s="18">
        <f t="shared" si="59"/>
        <v>2400000000</v>
      </c>
      <c r="G74" s="18">
        <f t="shared" si="59"/>
        <v>0</v>
      </c>
      <c r="H74" s="18">
        <f t="shared" si="59"/>
        <v>357700000</v>
      </c>
      <c r="I74" s="18">
        <f t="shared" si="59"/>
        <v>2042300000</v>
      </c>
      <c r="J74" s="18">
        <f t="shared" si="59"/>
        <v>357700000</v>
      </c>
      <c r="K74" s="18">
        <f t="shared" si="59"/>
        <v>0</v>
      </c>
      <c r="L74" s="18">
        <f t="shared" si="59"/>
        <v>0</v>
      </c>
      <c r="M74" s="18">
        <f t="shared" si="59"/>
        <v>0</v>
      </c>
      <c r="N74" s="20">
        <f t="shared" si="4"/>
        <v>0.14904166666666666</v>
      </c>
      <c r="O74" s="20">
        <f t="shared" si="5"/>
        <v>0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60">+C75+D75-E75</f>
        <v>947762000</v>
      </c>
      <c r="G75" s="13">
        <v>0</v>
      </c>
      <c r="H75" s="13">
        <v>357700000</v>
      </c>
      <c r="I75" s="14">
        <f t="shared" ref="I75:I78" si="61">+F75-G75-H75</f>
        <v>590062000</v>
      </c>
      <c r="J75" s="13">
        <v>357700000</v>
      </c>
      <c r="K75" s="13">
        <v>0</v>
      </c>
      <c r="L75" s="13">
        <v>0</v>
      </c>
      <c r="M75" s="13">
        <v>0</v>
      </c>
      <c r="N75" s="15">
        <f t="shared" ref="N75:N78" si="62">+J75/F75</f>
        <v>0.37741542707979431</v>
      </c>
      <c r="O75" s="15">
        <f t="shared" ref="O75:O78" si="63">+K75/F75</f>
        <v>0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60"/>
        <v>400000000</v>
      </c>
      <c r="G76" s="13">
        <v>0</v>
      </c>
      <c r="H76" s="13">
        <v>0</v>
      </c>
      <c r="I76" s="14">
        <f t="shared" si="61"/>
        <v>400000000</v>
      </c>
      <c r="J76" s="13">
        <v>0</v>
      </c>
      <c r="K76" s="13">
        <v>0</v>
      </c>
      <c r="L76" s="13">
        <v>0</v>
      </c>
      <c r="M76" s="13">
        <v>0</v>
      </c>
      <c r="N76" s="15">
        <f t="shared" si="62"/>
        <v>0</v>
      </c>
      <c r="O76" s="15">
        <f t="shared" si="63"/>
        <v>0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60"/>
        <v>201220000</v>
      </c>
      <c r="G77" s="13">
        <v>0</v>
      </c>
      <c r="H77" s="13">
        <v>0</v>
      </c>
      <c r="I77" s="14">
        <f t="shared" si="61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62"/>
        <v>0</v>
      </c>
      <c r="O77" s="15">
        <f t="shared" si="63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60"/>
        <v>851018000</v>
      </c>
      <c r="G78" s="13">
        <v>0</v>
      </c>
      <c r="H78" s="13">
        <v>0</v>
      </c>
      <c r="I78" s="14">
        <f t="shared" si="61"/>
        <v>851018000</v>
      </c>
      <c r="J78" s="13">
        <v>0</v>
      </c>
      <c r="K78" s="13">
        <v>0</v>
      </c>
      <c r="L78" s="13">
        <v>0</v>
      </c>
      <c r="M78" s="13">
        <v>0</v>
      </c>
      <c r="N78" s="15">
        <f t="shared" si="62"/>
        <v>0</v>
      </c>
      <c r="O78" s="15">
        <f t="shared" si="63"/>
        <v>0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64">SUM(D80:D81)</f>
        <v>0</v>
      </c>
      <c r="E79" s="18">
        <f t="shared" si="64"/>
        <v>0</v>
      </c>
      <c r="F79" s="18">
        <f t="shared" si="64"/>
        <v>200000000</v>
      </c>
      <c r="G79" s="18">
        <f t="shared" si="64"/>
        <v>0</v>
      </c>
      <c r="H79" s="18">
        <f t="shared" si="64"/>
        <v>0</v>
      </c>
      <c r="I79" s="18">
        <f t="shared" si="64"/>
        <v>200000000</v>
      </c>
      <c r="J79" s="18">
        <f t="shared" si="64"/>
        <v>0</v>
      </c>
      <c r="K79" s="18">
        <f t="shared" si="64"/>
        <v>0</v>
      </c>
      <c r="L79" s="18">
        <f t="shared" si="64"/>
        <v>0</v>
      </c>
      <c r="M79" s="18">
        <f t="shared" si="64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65">SUM(D83:D84)</f>
        <v>0</v>
      </c>
      <c r="E82" s="18">
        <f t="shared" si="65"/>
        <v>0</v>
      </c>
      <c r="F82" s="18">
        <f t="shared" si="65"/>
        <v>328888815</v>
      </c>
      <c r="G82" s="18">
        <f t="shared" si="65"/>
        <v>0</v>
      </c>
      <c r="H82" s="18">
        <f t="shared" si="65"/>
        <v>0</v>
      </c>
      <c r="I82" s="18">
        <f t="shared" si="65"/>
        <v>328888815</v>
      </c>
      <c r="J82" s="18">
        <f t="shared" si="65"/>
        <v>0</v>
      </c>
      <c r="K82" s="18">
        <f t="shared" si="65"/>
        <v>0</v>
      </c>
      <c r="L82" s="18">
        <f t="shared" si="65"/>
        <v>0</v>
      </c>
      <c r="M82" s="18">
        <f t="shared" si="65"/>
        <v>0</v>
      </c>
      <c r="N82" s="20">
        <f t="shared" si="4"/>
        <v>0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0</v>
      </c>
      <c r="I84" s="14">
        <f>+F84-G84-H84</f>
        <v>294200481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x14ac:dyDescent="0.25">
      <c r="A85" s="60" t="s">
        <v>143</v>
      </c>
      <c r="B85" s="60" t="s">
        <v>0</v>
      </c>
      <c r="C85" s="7">
        <f t="shared" ref="C85:M85" si="66">+C5+C64</f>
        <v>36191962728</v>
      </c>
      <c r="D85" s="8">
        <f t="shared" si="66"/>
        <v>1020000000</v>
      </c>
      <c r="E85" s="8">
        <f t="shared" si="66"/>
        <v>1020000000</v>
      </c>
      <c r="F85" s="8">
        <f t="shared" si="66"/>
        <v>36191962728</v>
      </c>
      <c r="G85" s="8">
        <f t="shared" si="66"/>
        <v>2861504000</v>
      </c>
      <c r="H85" s="8">
        <f t="shared" si="66"/>
        <v>22422557940.98</v>
      </c>
      <c r="I85" s="8">
        <f t="shared" si="66"/>
        <v>10907900787.02</v>
      </c>
      <c r="J85" s="8">
        <f t="shared" si="66"/>
        <v>8078063093.8699999</v>
      </c>
      <c r="K85" s="8">
        <f t="shared" si="66"/>
        <v>4555099458.29</v>
      </c>
      <c r="L85" s="8">
        <f t="shared" si="66"/>
        <v>4430434204.29</v>
      </c>
      <c r="M85" s="8">
        <f t="shared" si="66"/>
        <v>4424888547.29</v>
      </c>
      <c r="N85" s="9">
        <f t="shared" si="4"/>
        <v>0.2232004700762025</v>
      </c>
      <c r="O85" s="10">
        <f t="shared" si="5"/>
        <v>0.12585942057146118</v>
      </c>
    </row>
    <row r="86" spans="1:15" x14ac:dyDescent="0.25">
      <c r="A86" s="4" t="s">
        <v>25</v>
      </c>
    </row>
    <row r="88" spans="1:15" x14ac:dyDescent="0.25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</row>
    <row r="89" spans="1:15" x14ac:dyDescent="0.25"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</row>
    <row r="90" spans="1:15" x14ac:dyDescent="0.2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1:15" x14ac:dyDescent="0.2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1:15" x14ac:dyDescent="0.25"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1:15" x14ac:dyDescent="0.25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1:15" x14ac:dyDescent="0.25"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</row>
    <row r="95" spans="1:15" x14ac:dyDescent="0.25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</row>
    <row r="96" spans="1:15" x14ac:dyDescent="0.25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</row>
    <row r="97" spans="3:15" x14ac:dyDescent="0.25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</row>
    <row r="98" spans="3:15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</sheetData>
  <sortState ref="A83:M84">
    <sortCondition ref="A83"/>
  </sortState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F38:F39 F42:F43 F47 I38:I39 I42 I47 F59 I59 F71 I71 F82 I82 F20" formula="1"/>
    <ignoredError sqref="C60:E60 G60:H60 J60:M60 C74:E74 G74:H74 J74:M74 C67:E67 G67:H67 J67:M67 C79:E79 G79:H79 J79:M79 C30:E30 G30:M30" formulaRange="1"/>
    <ignoredError sqref="F60 I60 F74 I74 F67 I67 F79 I79 F3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9"/>
  <sheetViews>
    <sheetView showGridLines="0" workbookViewId="0">
      <pane xSplit="1" ySplit="4" topLeftCell="B6" activePane="bottomRight" state="frozen"/>
      <selection pane="topRight" activeCell="B1" sqref="B1"/>
      <selection pane="bottomLeft" activeCell="A5" sqref="A5"/>
      <selection pane="bottomRight" activeCell="A7" sqref="A7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4.42578125" style="2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9" t="s">
        <v>22</v>
      </c>
      <c r="B5" s="69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1020000000</v>
      </c>
      <c r="F5" s="7">
        <f t="shared" si="0"/>
        <v>29191962728</v>
      </c>
      <c r="G5" s="7">
        <f t="shared" si="0"/>
        <v>2861504000</v>
      </c>
      <c r="H5" s="7">
        <f t="shared" si="0"/>
        <v>22504159159.010002</v>
      </c>
      <c r="I5" s="7">
        <f t="shared" si="0"/>
        <v>3826299568.9899998</v>
      </c>
      <c r="J5" s="7">
        <f t="shared" si="0"/>
        <v>9380460753.0900002</v>
      </c>
      <c r="K5" s="7">
        <f t="shared" si="0"/>
        <v>5753943227.5100002</v>
      </c>
      <c r="L5" s="7">
        <f t="shared" si="0"/>
        <v>5753943227.5100002</v>
      </c>
      <c r="M5" s="7">
        <f t="shared" si="0"/>
        <v>5732114217.5100002</v>
      </c>
      <c r="N5" s="9">
        <f>+J5/F5</f>
        <v>0.32133710365738993</v>
      </c>
      <c r="O5" s="10">
        <f>+K5/F5</f>
        <v>0.19710710379850552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426504000</v>
      </c>
      <c r="H6" s="7">
        <f t="shared" si="1"/>
        <v>15152685000</v>
      </c>
      <c r="I6" s="7">
        <f t="shared" si="1"/>
        <v>0</v>
      </c>
      <c r="J6" s="7">
        <f t="shared" si="1"/>
        <v>3071905479</v>
      </c>
      <c r="K6" s="7">
        <f t="shared" si="1"/>
        <v>3071092043</v>
      </c>
      <c r="L6" s="7">
        <f t="shared" si="1"/>
        <v>3071092043</v>
      </c>
      <c r="M6" s="7">
        <f t="shared" si="1"/>
        <v>3049263033</v>
      </c>
      <c r="N6" s="9">
        <f>+J6/F6</f>
        <v>0.19718006367340432</v>
      </c>
      <c r="O6" s="10">
        <f>+K6/F6</f>
        <v>0.19712785068593749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6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3071905479</v>
      </c>
      <c r="K7" s="18">
        <f>+K8+K20+K30</f>
        <v>3071092043</v>
      </c>
      <c r="L7" s="18">
        <f>+L8+L20+L30</f>
        <v>3071092043</v>
      </c>
      <c r="M7" s="18">
        <f>+M8+M20+M30</f>
        <v>3049263033</v>
      </c>
      <c r="N7" s="20">
        <f>+J7/F7</f>
        <v>0.20273010882229783</v>
      </c>
      <c r="O7" s="20">
        <f>+K7/F7</f>
        <v>0.2026764261911338</v>
      </c>
      <c r="P7" s="39"/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6" si="3">+F8-G8-H8</f>
        <v>0</v>
      </c>
      <c r="J8" s="18">
        <f>+J9</f>
        <v>2063688507</v>
      </c>
      <c r="K8" s="18">
        <f>+K9</f>
        <v>2063688507</v>
      </c>
      <c r="L8" s="18">
        <f>+L9</f>
        <v>2063688507</v>
      </c>
      <c r="M8" s="18">
        <f>+M9</f>
        <v>2063688507</v>
      </c>
      <c r="N8" s="20">
        <f t="shared" ref="N8:N85" si="4">+J8/F8</f>
        <v>0.19685558787480345</v>
      </c>
      <c r="O8" s="20">
        <f t="shared" ref="O8:O85" si="5">+K8/F8</f>
        <v>0.19685558787480345</v>
      </c>
      <c r="P8" s="39"/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2063688507</v>
      </c>
      <c r="K9" s="18">
        <f>SUM(K10:K19)</f>
        <v>2063688507</v>
      </c>
      <c r="L9" s="18">
        <f>SUM(L10:L19)</f>
        <v>2063688507</v>
      </c>
      <c r="M9" s="18">
        <f>SUM(M10:M19)</f>
        <v>2063688507</v>
      </c>
      <c r="N9" s="20">
        <f t="shared" si="4"/>
        <v>0.19685558787480345</v>
      </c>
      <c r="O9" s="20">
        <f t="shared" si="5"/>
        <v>0.19685558787480345</v>
      </c>
      <c r="P9" s="39"/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1816367821</v>
      </c>
      <c r="K10" s="13">
        <v>1816367821</v>
      </c>
      <c r="L10" s="13">
        <v>1816367821</v>
      </c>
      <c r="M10" s="13">
        <v>1816367821</v>
      </c>
      <c r="N10" s="15">
        <f t="shared" si="4"/>
        <v>0.23703090447605377</v>
      </c>
      <c r="O10" s="15">
        <f t="shared" si="5"/>
        <v>0.23703090447605377</v>
      </c>
      <c r="P10" s="39"/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16924629</v>
      </c>
      <c r="K11" s="13">
        <v>16924629</v>
      </c>
      <c r="L11" s="13">
        <v>16924629</v>
      </c>
      <c r="M11" s="13">
        <v>16924629</v>
      </c>
      <c r="N11" s="15">
        <f t="shared" si="4"/>
        <v>0.23184423287671233</v>
      </c>
      <c r="O11" s="15">
        <f t="shared" si="5"/>
        <v>0.23184423287671233</v>
      </c>
      <c r="P11" s="39"/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86848909</v>
      </c>
      <c r="K12" s="13">
        <v>86848909</v>
      </c>
      <c r="L12" s="13">
        <v>86848909</v>
      </c>
      <c r="M12" s="13">
        <v>86848909</v>
      </c>
      <c r="N12" s="15">
        <f t="shared" si="4"/>
        <v>0.13570142031249999</v>
      </c>
      <c r="O12" s="15">
        <f t="shared" si="5"/>
        <v>0.13570142031249999</v>
      </c>
      <c r="P12" s="39"/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3193022</v>
      </c>
      <c r="K13" s="13">
        <v>3193022</v>
      </c>
      <c r="L13" s="13">
        <v>3193022</v>
      </c>
      <c r="M13" s="13">
        <v>3193022</v>
      </c>
      <c r="N13" s="15">
        <f t="shared" si="4"/>
        <v>0.228073</v>
      </c>
      <c r="O13" s="15">
        <f t="shared" si="5"/>
        <v>0.228073</v>
      </c>
      <c r="P13" s="39"/>
    </row>
    <row r="14" spans="1:22" x14ac:dyDescent="0.25">
      <c r="A14" s="11" t="s">
        <v>58</v>
      </c>
      <c r="B14" s="12" t="s">
        <v>13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/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4157243</v>
      </c>
      <c r="K15" s="13">
        <v>4157243</v>
      </c>
      <c r="L15" s="13">
        <v>4157243</v>
      </c>
      <c r="M15" s="13">
        <v>4157243</v>
      </c>
      <c r="N15" s="15">
        <f t="shared" si="4"/>
        <v>1.0290205445544555E-2</v>
      </c>
      <c r="O15" s="15">
        <f t="shared" si="5"/>
        <v>1.0290205445544555E-2</v>
      </c>
      <c r="P15" s="39"/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82973339</v>
      </c>
      <c r="K16" s="13">
        <v>82973339</v>
      </c>
      <c r="L16" s="13">
        <v>82973339</v>
      </c>
      <c r="M16" s="13">
        <v>82973339</v>
      </c>
      <c r="N16" s="15">
        <f t="shared" si="4"/>
        <v>0.28910571080139374</v>
      </c>
      <c r="O16" s="15">
        <f t="shared" si="5"/>
        <v>0.28910571080139374</v>
      </c>
      <c r="P16" s="39"/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8363924</v>
      </c>
      <c r="K17" s="13">
        <v>8363924</v>
      </c>
      <c r="L17" s="13">
        <v>8363924</v>
      </c>
      <c r="M17" s="13">
        <v>8363924</v>
      </c>
      <c r="N17" s="15">
        <f t="shared" si="4"/>
        <v>0.13939873333333333</v>
      </c>
      <c r="O17" s="15">
        <f t="shared" si="5"/>
        <v>0.13939873333333333</v>
      </c>
      <c r="P17" s="39"/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757357</v>
      </c>
      <c r="K18" s="13">
        <v>757357</v>
      </c>
      <c r="L18" s="13">
        <v>757357</v>
      </c>
      <c r="M18" s="13">
        <v>757357</v>
      </c>
      <c r="N18" s="15">
        <f t="shared" si="4"/>
        <v>8.9100823529411762E-4</v>
      </c>
      <c r="O18" s="15">
        <f t="shared" si="5"/>
        <v>8.9100823529411762E-4</v>
      </c>
      <c r="P18" s="39"/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44102263</v>
      </c>
      <c r="K19" s="13">
        <v>44102263</v>
      </c>
      <c r="L19" s="13">
        <v>44102263</v>
      </c>
      <c r="M19" s="13">
        <v>44102263</v>
      </c>
      <c r="N19" s="15">
        <f t="shared" si="4"/>
        <v>9.051055389206196E-2</v>
      </c>
      <c r="O19" s="15">
        <f t="shared" si="5"/>
        <v>9.051055389206196E-2</v>
      </c>
      <c r="P19" s="39"/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829793742</v>
      </c>
      <c r="K20" s="18">
        <f t="shared" ref="K20:M20" si="9">SUM(K21:K29)</f>
        <v>829793742</v>
      </c>
      <c r="L20" s="18">
        <f t="shared" si="9"/>
        <v>829793742</v>
      </c>
      <c r="M20" s="18">
        <f t="shared" si="9"/>
        <v>807964732</v>
      </c>
      <c r="N20" s="20">
        <f t="shared" si="4"/>
        <v>0.2089809976462387</v>
      </c>
      <c r="O20" s="20">
        <f t="shared" si="5"/>
        <v>0.2089809976462387</v>
      </c>
      <c r="P20" s="39"/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259137785</v>
      </c>
      <c r="K21" s="13">
        <v>259137785</v>
      </c>
      <c r="L21" s="13">
        <v>259137785</v>
      </c>
      <c r="M21" s="13">
        <v>259137785</v>
      </c>
      <c r="N21" s="15">
        <f t="shared" si="4"/>
        <v>0.21582836942163766</v>
      </c>
      <c r="O21" s="15">
        <f t="shared" si="5"/>
        <v>0.21582836942163766</v>
      </c>
      <c r="P21" s="39"/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183556085</v>
      </c>
      <c r="K22" s="13">
        <v>183556085</v>
      </c>
      <c r="L22" s="13">
        <v>183556085</v>
      </c>
      <c r="M22" s="13">
        <v>183556085</v>
      </c>
      <c r="N22" s="15">
        <f t="shared" si="4"/>
        <v>0.23532831410256411</v>
      </c>
      <c r="O22" s="15">
        <f t="shared" si="5"/>
        <v>0.23532831410256411</v>
      </c>
      <c r="P22" s="39"/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181938972</v>
      </c>
      <c r="K23" s="13">
        <v>181938972</v>
      </c>
      <c r="L23" s="13">
        <v>181938972</v>
      </c>
      <c r="M23" s="13">
        <v>160109962</v>
      </c>
      <c r="N23" s="15">
        <f t="shared" si="4"/>
        <v>0.19775975217391303</v>
      </c>
      <c r="O23" s="15">
        <f t="shared" si="5"/>
        <v>0.19775975217391303</v>
      </c>
      <c r="P23" s="39"/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85833600</v>
      </c>
      <c r="K24" s="13">
        <v>85833600</v>
      </c>
      <c r="L24" s="13">
        <v>85833600</v>
      </c>
      <c r="M24" s="13">
        <v>85833600</v>
      </c>
      <c r="N24" s="15">
        <f t="shared" si="4"/>
        <v>0.20436571428571429</v>
      </c>
      <c r="O24" s="15">
        <f t="shared" si="5"/>
        <v>0.20436571428571429</v>
      </c>
      <c r="P24" s="39"/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11980800</v>
      </c>
      <c r="K25" s="13">
        <v>11980800</v>
      </c>
      <c r="L25" s="13">
        <v>11980800</v>
      </c>
      <c r="M25" s="13">
        <v>11980800</v>
      </c>
      <c r="N25" s="15">
        <f t="shared" si="4"/>
        <v>0.1711542857142857</v>
      </c>
      <c r="O25" s="15">
        <f t="shared" si="5"/>
        <v>0.1711542857142857</v>
      </c>
      <c r="P25" s="39"/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64375400</v>
      </c>
      <c r="K26" s="13">
        <v>64375400</v>
      </c>
      <c r="L26" s="13">
        <v>64375400</v>
      </c>
      <c r="M26" s="13">
        <v>64375400</v>
      </c>
      <c r="N26" s="15">
        <f t="shared" si="4"/>
        <v>0.20117312500000001</v>
      </c>
      <c r="O26" s="15">
        <f t="shared" si="5"/>
        <v>0.20117312500000001</v>
      </c>
      <c r="P26" s="39"/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10747900</v>
      </c>
      <c r="K27" s="13">
        <v>10747900</v>
      </c>
      <c r="L27" s="13">
        <v>10747900</v>
      </c>
      <c r="M27" s="13">
        <v>10747900</v>
      </c>
      <c r="N27" s="15">
        <f t="shared" si="4"/>
        <v>0.15354142857142858</v>
      </c>
      <c r="O27" s="15">
        <f t="shared" si="5"/>
        <v>0.15354142857142858</v>
      </c>
      <c r="P27" s="39"/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10747900</v>
      </c>
      <c r="K28" s="13">
        <v>10747900</v>
      </c>
      <c r="L28" s="13">
        <v>10747900</v>
      </c>
      <c r="M28" s="13">
        <v>10747900</v>
      </c>
      <c r="N28" s="15">
        <f t="shared" si="4"/>
        <v>0.15354142857142858</v>
      </c>
      <c r="O28" s="15">
        <f t="shared" si="5"/>
        <v>0.15354142857142858</v>
      </c>
      <c r="P28" s="39"/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21475300</v>
      </c>
      <c r="K29" s="13">
        <v>21475300</v>
      </c>
      <c r="L29" s="13">
        <v>21475300</v>
      </c>
      <c r="M29" s="13">
        <v>21475300</v>
      </c>
      <c r="N29" s="15">
        <f t="shared" si="4"/>
        <v>0.17896083333333335</v>
      </c>
      <c r="O29" s="15">
        <f t="shared" si="5"/>
        <v>0.17896083333333335</v>
      </c>
      <c r="P29" s="39"/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178423230</v>
      </c>
      <c r="K30" s="18">
        <f t="shared" ref="K30:M30" si="13">SUM(K31:K35)</f>
        <v>177609794</v>
      </c>
      <c r="L30" s="18">
        <f t="shared" si="13"/>
        <v>177609794</v>
      </c>
      <c r="M30" s="18">
        <f t="shared" si="13"/>
        <v>177609794</v>
      </c>
      <c r="N30" s="20">
        <f t="shared" si="4"/>
        <v>0.25534338068401363</v>
      </c>
      <c r="O30" s="20">
        <f t="shared" si="5"/>
        <v>0.25417926377944866</v>
      </c>
      <c r="P30" s="39"/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55335447</v>
      </c>
      <c r="K31" s="13">
        <v>55335447</v>
      </c>
      <c r="L31" s="13">
        <v>55335447</v>
      </c>
      <c r="M31" s="13">
        <v>55335447</v>
      </c>
      <c r="N31" s="15">
        <f t="shared" si="4"/>
        <v>0.18804771449194393</v>
      </c>
      <c r="O31" s="15">
        <f t="shared" si="5"/>
        <v>0.18804771449194393</v>
      </c>
      <c r="P31" s="39"/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52127683</v>
      </c>
      <c r="K32" s="13">
        <v>51314247</v>
      </c>
      <c r="L32" s="13">
        <v>51314247</v>
      </c>
      <c r="M32" s="13">
        <v>51314247</v>
      </c>
      <c r="N32" s="15">
        <f t="shared" si="4"/>
        <v>0.86879471666666663</v>
      </c>
      <c r="O32" s="15">
        <f t="shared" si="5"/>
        <v>0.85523744999999995</v>
      </c>
      <c r="P32" s="39"/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5276362</v>
      </c>
      <c r="K33" s="13">
        <v>5276362</v>
      </c>
      <c r="L33" s="13">
        <v>5276362</v>
      </c>
      <c r="M33" s="13">
        <v>5276362</v>
      </c>
      <c r="N33" s="15">
        <f t="shared" si="4"/>
        <v>0.11096730096237971</v>
      </c>
      <c r="O33" s="15">
        <f t="shared" si="5"/>
        <v>0.11096730096237971</v>
      </c>
      <c r="P33" s="39"/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45374419</v>
      </c>
      <c r="K34" s="13">
        <v>45374419</v>
      </c>
      <c r="L34" s="13">
        <v>45374419</v>
      </c>
      <c r="M34" s="13">
        <v>45374419</v>
      </c>
      <c r="N34" s="15">
        <f t="shared" si="4"/>
        <v>0.29474166982794009</v>
      </c>
      <c r="O34" s="15">
        <f t="shared" si="5"/>
        <v>0.29474166982794009</v>
      </c>
      <c r="P34" s="39"/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20309319</v>
      </c>
      <c r="K35" s="13">
        <v>20309319</v>
      </c>
      <c r="L35" s="13">
        <v>20309319</v>
      </c>
      <c r="M35" s="13">
        <v>20309319</v>
      </c>
      <c r="N35" s="15">
        <f t="shared" si="4"/>
        <v>0.1420232097902098</v>
      </c>
      <c r="O35" s="15">
        <f t="shared" si="5"/>
        <v>0.1420232097902098</v>
      </c>
      <c r="P35" s="39"/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f t="shared" si="2"/>
        <v>426504000</v>
      </c>
      <c r="G36" s="24">
        <v>426504000</v>
      </c>
      <c r="H36" s="24">
        <v>0</v>
      </c>
      <c r="I36" s="25">
        <f t="shared" si="3"/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  <c r="P36" s="39"/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1000000000</v>
      </c>
      <c r="F37" s="8">
        <f t="shared" si="14"/>
        <v>9897753728</v>
      </c>
      <c r="G37" s="8">
        <f t="shared" si="14"/>
        <v>0</v>
      </c>
      <c r="H37" s="8">
        <f t="shared" si="14"/>
        <v>7251284159.0100002</v>
      </c>
      <c r="I37" s="8">
        <f t="shared" si="14"/>
        <v>2646469568.9899998</v>
      </c>
      <c r="J37" s="8">
        <f t="shared" si="14"/>
        <v>6288488307.0900002</v>
      </c>
      <c r="K37" s="8">
        <f t="shared" si="14"/>
        <v>2663114217.5100002</v>
      </c>
      <c r="L37" s="8">
        <f t="shared" si="14"/>
        <v>2663114217.5100002</v>
      </c>
      <c r="M37" s="8">
        <f t="shared" si="14"/>
        <v>2663114217.5100002</v>
      </c>
      <c r="N37" s="9">
        <f t="shared" si="4"/>
        <v>0.63534499644099451</v>
      </c>
      <c r="O37" s="10">
        <f t="shared" si="5"/>
        <v>0.26906248535728372</v>
      </c>
      <c r="P37" s="39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0</v>
      </c>
      <c r="F38" s="19">
        <f t="shared" ref="F38:F63" si="16">+C38+D38-E38</f>
        <v>135000000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131807563.2</v>
      </c>
      <c r="J38" s="18">
        <f t="shared" ref="J38:M38" si="19">+J39</f>
        <v>3192436.8</v>
      </c>
      <c r="K38" s="18">
        <f t="shared" si="19"/>
        <v>0</v>
      </c>
      <c r="L38" s="18">
        <f t="shared" si="19"/>
        <v>0</v>
      </c>
      <c r="M38" s="18">
        <f t="shared" si="19"/>
        <v>0</v>
      </c>
      <c r="N38" s="20">
        <f t="shared" si="4"/>
        <v>2.3647679999999997E-2</v>
      </c>
      <c r="O38" s="20">
        <f t="shared" si="5"/>
        <v>0</v>
      </c>
      <c r="P38" s="39"/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0</v>
      </c>
      <c r="F39" s="19">
        <f t="shared" si="16"/>
        <v>135000000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131807563.2</v>
      </c>
      <c r="J39" s="18">
        <f t="shared" ref="J39:M39" si="22">SUM(J40:J41)</f>
        <v>3192436.8</v>
      </c>
      <c r="K39" s="18">
        <f t="shared" si="22"/>
        <v>0</v>
      </c>
      <c r="L39" s="18">
        <f t="shared" si="22"/>
        <v>0</v>
      </c>
      <c r="M39" s="18">
        <f t="shared" si="22"/>
        <v>0</v>
      </c>
      <c r="N39" s="20">
        <f t="shared" si="4"/>
        <v>2.3647679999999997E-2</v>
      </c>
      <c r="O39" s="20">
        <f t="shared" si="5"/>
        <v>0</v>
      </c>
      <c r="P39" s="39"/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  <c r="P40" s="39"/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0</v>
      </c>
      <c r="F41" s="14">
        <f t="shared" si="16"/>
        <v>95000000</v>
      </c>
      <c r="G41" s="13">
        <v>0</v>
      </c>
      <c r="H41" s="13">
        <v>3192436.8</v>
      </c>
      <c r="I41" s="14">
        <f t="shared" si="18"/>
        <v>91807563.200000003</v>
      </c>
      <c r="J41" s="13">
        <v>3192436.8</v>
      </c>
      <c r="K41" s="13">
        <v>0</v>
      </c>
      <c r="L41" s="13">
        <v>0</v>
      </c>
      <c r="M41" s="13">
        <v>0</v>
      </c>
      <c r="N41" s="15">
        <f t="shared" si="4"/>
        <v>3.360459789473684E-2</v>
      </c>
      <c r="O41" s="15">
        <f t="shared" si="5"/>
        <v>0</v>
      </c>
      <c r="P41" s="39"/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7248091722.21</v>
      </c>
      <c r="I42" s="19">
        <f t="shared" si="18"/>
        <v>2514662005.79</v>
      </c>
      <c r="J42" s="18">
        <f t="shared" ref="J42:M42" si="25">+J43+J47</f>
        <v>6285295870.29</v>
      </c>
      <c r="K42" s="18">
        <f t="shared" si="25"/>
        <v>2663114217.5100002</v>
      </c>
      <c r="L42" s="18">
        <f t="shared" si="25"/>
        <v>2663114217.5100002</v>
      </c>
      <c r="M42" s="18">
        <f t="shared" si="25"/>
        <v>2663114217.5100002</v>
      </c>
      <c r="N42" s="20">
        <f t="shared" si="4"/>
        <v>0.64380358712352848</v>
      </c>
      <c r="O42" s="20">
        <f t="shared" si="5"/>
        <v>0.27278309908320986</v>
      </c>
      <c r="P42" s="39"/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53295658</v>
      </c>
      <c r="I43" s="19">
        <f t="shared" si="18"/>
        <v>38704342</v>
      </c>
      <c r="J43" s="18">
        <f t="shared" ref="J43" si="27">SUM(J44:J46)</f>
        <v>53295658</v>
      </c>
      <c r="K43" s="18">
        <f t="shared" ref="K43:M43" si="28">SUM(K44:K46)</f>
        <v>3851447</v>
      </c>
      <c r="L43" s="18">
        <f t="shared" si="28"/>
        <v>3851447</v>
      </c>
      <c r="M43" s="18">
        <f t="shared" si="28"/>
        <v>3851447</v>
      </c>
      <c r="N43" s="20">
        <f t="shared" si="4"/>
        <v>0.57930063043478264</v>
      </c>
      <c r="O43" s="20">
        <f t="shared" si="5"/>
        <v>4.1863554347826085E-2</v>
      </c>
      <c r="P43" s="39"/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  <c r="P44" s="39"/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25740018</v>
      </c>
      <c r="I45" s="14">
        <f t="shared" si="18"/>
        <v>19259982</v>
      </c>
      <c r="J45" s="13">
        <v>25740018</v>
      </c>
      <c r="K45" s="13">
        <v>3564657</v>
      </c>
      <c r="L45" s="13">
        <v>3564657</v>
      </c>
      <c r="M45" s="13">
        <v>3564657</v>
      </c>
      <c r="N45" s="15">
        <f t="shared" si="4"/>
        <v>0.57200039999999996</v>
      </c>
      <c r="O45" s="15">
        <f t="shared" si="5"/>
        <v>7.9214599999999996E-2</v>
      </c>
      <c r="P45" s="39"/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  <c r="P46" s="39"/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7194796064.21</v>
      </c>
      <c r="I47" s="19">
        <f t="shared" si="18"/>
        <v>2475957663.79</v>
      </c>
      <c r="J47" s="18">
        <f t="shared" ref="J47:M47" si="31">SUM(J48:J52)</f>
        <v>6232000212.29</v>
      </c>
      <c r="K47" s="18">
        <f t="shared" si="31"/>
        <v>2659262770.5100002</v>
      </c>
      <c r="L47" s="18">
        <f t="shared" si="31"/>
        <v>2659262770.5100002</v>
      </c>
      <c r="M47" s="18">
        <f t="shared" si="31"/>
        <v>2659262770.5100002</v>
      </c>
      <c r="N47" s="20">
        <f t="shared" si="4"/>
        <v>0.6444172178892652</v>
      </c>
      <c r="O47" s="20">
        <f t="shared" si="5"/>
        <v>0.27497988732879874</v>
      </c>
      <c r="P47" s="39"/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1120600423</v>
      </c>
      <c r="I48" s="14">
        <f t="shared" si="18"/>
        <v>72399577</v>
      </c>
      <c r="J48" s="27">
        <v>514819033</v>
      </c>
      <c r="K48" s="27">
        <v>143540934</v>
      </c>
      <c r="L48" s="27">
        <v>143540934</v>
      </c>
      <c r="M48" s="27">
        <v>143540934</v>
      </c>
      <c r="N48" s="15">
        <f t="shared" si="4"/>
        <v>0.43153313746856664</v>
      </c>
      <c r="O48" s="15">
        <f t="shared" si="5"/>
        <v>0.120319307627829</v>
      </c>
      <c r="P48" s="39"/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4315988968</v>
      </c>
      <c r="I49" s="14">
        <f t="shared" si="18"/>
        <v>709961544</v>
      </c>
      <c r="J49" s="27">
        <v>4240037376</v>
      </c>
      <c r="K49" s="27">
        <v>2299406058</v>
      </c>
      <c r="L49" s="27">
        <v>2299406058</v>
      </c>
      <c r="M49" s="27">
        <v>2299406058</v>
      </c>
      <c r="N49" s="15">
        <f t="shared" si="4"/>
        <v>0.84362895453834108</v>
      </c>
      <c r="O49" s="15">
        <f t="shared" si="5"/>
        <v>0.45750670495260937</v>
      </c>
      <c r="P49" s="39"/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1426613742.21</v>
      </c>
      <c r="I50" s="14">
        <f t="shared" si="18"/>
        <v>860943237.78999996</v>
      </c>
      <c r="J50" s="27">
        <v>1346277080.29</v>
      </c>
      <c r="K50" s="27">
        <v>111353928.51000001</v>
      </c>
      <c r="L50" s="27">
        <v>111353928.51000001</v>
      </c>
      <c r="M50" s="27">
        <v>111353928.51000001</v>
      </c>
      <c r="N50" s="15">
        <f t="shared" si="4"/>
        <v>0.58852176888288921</v>
      </c>
      <c r="O50" s="15">
        <f t="shared" si="5"/>
        <v>4.8678100472933361E-2</v>
      </c>
      <c r="P50" s="39"/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123199380</v>
      </c>
      <c r="I51" s="14">
        <f t="shared" si="18"/>
        <v>741046856</v>
      </c>
      <c r="J51" s="27">
        <v>18491620</v>
      </c>
      <c r="K51" s="27">
        <v>2477120</v>
      </c>
      <c r="L51" s="27">
        <v>2477120</v>
      </c>
      <c r="M51" s="27">
        <v>2477120</v>
      </c>
      <c r="N51" s="15">
        <f t="shared" si="4"/>
        <v>2.1396240133581559E-2</v>
      </c>
      <c r="O51" s="15">
        <f t="shared" si="5"/>
        <v>2.8662201775559713E-3</v>
      </c>
      <c r="P51" s="39"/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208393551</v>
      </c>
      <c r="I52" s="14">
        <f t="shared" si="18"/>
        <v>91606449</v>
      </c>
      <c r="J52" s="27">
        <v>112375103</v>
      </c>
      <c r="K52" s="27">
        <v>102484730</v>
      </c>
      <c r="L52" s="27">
        <v>102484730</v>
      </c>
      <c r="M52" s="27">
        <v>102484730</v>
      </c>
      <c r="N52" s="15">
        <f t="shared" si="4"/>
        <v>0.37458367666666664</v>
      </c>
      <c r="O52" s="15">
        <f t="shared" si="5"/>
        <v>0.34161576666666665</v>
      </c>
      <c r="P52" s="39"/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19736967</v>
      </c>
      <c r="K53" s="8">
        <f t="shared" si="33"/>
        <v>19736967</v>
      </c>
      <c r="L53" s="8">
        <f t="shared" si="33"/>
        <v>19736967</v>
      </c>
      <c r="M53" s="8">
        <f t="shared" si="33"/>
        <v>19736967</v>
      </c>
      <c r="N53" s="9">
        <f t="shared" si="4"/>
        <v>5.4083958107263817E-3</v>
      </c>
      <c r="O53" s="10">
        <f t="shared" si="5"/>
        <v>5.4083958107263817E-3</v>
      </c>
      <c r="P53" s="39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  <c r="P54" s="39"/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16483097</v>
      </c>
      <c r="K55" s="13">
        <v>16483097</v>
      </c>
      <c r="L55" s="13">
        <v>16483097</v>
      </c>
      <c r="M55" s="13">
        <v>16483097</v>
      </c>
      <c r="N55" s="15">
        <f t="shared" si="4"/>
        <v>0.20639991234660657</v>
      </c>
      <c r="O55" s="15">
        <f t="shared" si="5"/>
        <v>0.20639991234660657</v>
      </c>
      <c r="P55" s="39"/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3253870</v>
      </c>
      <c r="K56" s="13">
        <v>3253870</v>
      </c>
      <c r="L56" s="13">
        <v>3253870</v>
      </c>
      <c r="M56" s="13">
        <v>3253870</v>
      </c>
      <c r="N56" s="15">
        <f t="shared" si="4"/>
        <v>0.16269349999999999</v>
      </c>
      <c r="O56" s="15">
        <f t="shared" si="5"/>
        <v>0.16269349999999999</v>
      </c>
      <c r="P56" s="39"/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  <c r="P57" s="39"/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0</v>
      </c>
      <c r="L58" s="8">
        <f t="shared" si="36"/>
        <v>0</v>
      </c>
      <c r="M58" s="8">
        <f t="shared" si="36"/>
        <v>0</v>
      </c>
      <c r="N58" s="9">
        <f t="shared" si="4"/>
        <v>5.0228310502283104E-3</v>
      </c>
      <c r="O58" s="10">
        <f t="shared" si="5"/>
        <v>0</v>
      </c>
      <c r="P58" s="39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0</v>
      </c>
      <c r="L59" s="18">
        <f t="shared" si="41"/>
        <v>0</v>
      </c>
      <c r="M59" s="18">
        <f t="shared" si="41"/>
        <v>0</v>
      </c>
      <c r="N59" s="20">
        <f t="shared" si="4"/>
        <v>3.0841121495327101E-2</v>
      </c>
      <c r="O59" s="20">
        <f t="shared" si="5"/>
        <v>0</v>
      </c>
      <c r="P59" s="39"/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0</v>
      </c>
      <c r="L60" s="18">
        <f t="shared" si="44"/>
        <v>0</v>
      </c>
      <c r="M60" s="18">
        <f t="shared" si="44"/>
        <v>0</v>
      </c>
      <c r="N60" s="20">
        <f t="shared" si="4"/>
        <v>3.0841121495327101E-2</v>
      </c>
      <c r="O60" s="20">
        <f t="shared" si="5"/>
        <v>0</v>
      </c>
      <c r="P60" s="39"/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  <c r="P61" s="39"/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0</v>
      </c>
      <c r="L62" s="13">
        <v>0</v>
      </c>
      <c r="M62" s="13">
        <v>0</v>
      </c>
      <c r="N62" s="15">
        <f t="shared" si="4"/>
        <v>0.94285714285714284</v>
      </c>
      <c r="O62" s="15">
        <f t="shared" si="5"/>
        <v>0</v>
      </c>
      <c r="P62" s="39"/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  <c r="P63" s="39"/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1282131442.8099999</v>
      </c>
      <c r="I64" s="8">
        <f t="shared" si="45"/>
        <v>5717868557.1900005</v>
      </c>
      <c r="J64" s="8">
        <f t="shared" si="45"/>
        <v>962210898.80999994</v>
      </c>
      <c r="K64" s="8">
        <f t="shared" si="45"/>
        <v>0</v>
      </c>
      <c r="L64" s="8">
        <f t="shared" si="45"/>
        <v>0</v>
      </c>
      <c r="M64" s="8">
        <f t="shared" si="45"/>
        <v>0</v>
      </c>
      <c r="N64" s="9">
        <f t="shared" si="4"/>
        <v>0.13745869983</v>
      </c>
      <c r="O64" s="10">
        <f t="shared" si="5"/>
        <v>0</v>
      </c>
      <c r="P64" s="39"/>
    </row>
    <row r="65" spans="1:16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  <c r="P65" s="39"/>
    </row>
    <row r="66" spans="1:16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  <c r="P66" s="39"/>
    </row>
    <row r="67" spans="1:16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  <c r="P67" s="39"/>
    </row>
    <row r="68" spans="1:16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  <c r="P68" s="39"/>
    </row>
    <row r="69" spans="1:16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  <c r="P69" s="39"/>
    </row>
    <row r="70" spans="1:16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/>
    </row>
    <row r="71" spans="1:16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185438380.81</v>
      </c>
      <c r="I71" s="18">
        <f t="shared" si="52"/>
        <v>2639772804.1900001</v>
      </c>
      <c r="J71" s="18">
        <f t="shared" si="52"/>
        <v>185438380.81</v>
      </c>
      <c r="K71" s="18">
        <f t="shared" si="52"/>
        <v>0</v>
      </c>
      <c r="L71" s="18">
        <f t="shared" si="52"/>
        <v>0</v>
      </c>
      <c r="M71" s="18">
        <f t="shared" si="52"/>
        <v>0</v>
      </c>
      <c r="N71" s="20">
        <f t="shared" si="4"/>
        <v>6.5636997968348335E-2</v>
      </c>
      <c r="O71" s="20">
        <f t="shared" si="5"/>
        <v>0</v>
      </c>
      <c r="P71" s="39"/>
    </row>
    <row r="72" spans="1:16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185438380.81</v>
      </c>
      <c r="I72" s="14">
        <f t="shared" si="51"/>
        <v>1714561619.1900001</v>
      </c>
      <c r="J72" s="13">
        <v>185438380.81</v>
      </c>
      <c r="K72" s="13">
        <v>0</v>
      </c>
      <c r="L72" s="13">
        <v>0</v>
      </c>
      <c r="M72" s="13">
        <v>0</v>
      </c>
      <c r="N72" s="15">
        <f t="shared" si="4"/>
        <v>9.7599147794736843E-2</v>
      </c>
      <c r="O72" s="15">
        <f t="shared" si="5"/>
        <v>0</v>
      </c>
      <c r="P72" s="39"/>
    </row>
    <row r="73" spans="1:16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  <c r="P73" s="39"/>
    </row>
    <row r="74" spans="1:16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936387210</v>
      </c>
      <c r="I74" s="18">
        <f t="shared" si="53"/>
        <v>1463612790</v>
      </c>
      <c r="J74" s="18">
        <f t="shared" si="53"/>
        <v>616466666</v>
      </c>
      <c r="K74" s="18">
        <f t="shared" si="53"/>
        <v>0</v>
      </c>
      <c r="L74" s="18">
        <f t="shared" si="53"/>
        <v>0</v>
      </c>
      <c r="M74" s="18">
        <f t="shared" si="53"/>
        <v>0</v>
      </c>
      <c r="N74" s="20">
        <f t="shared" si="4"/>
        <v>0.25686111083333335</v>
      </c>
      <c r="O74" s="20">
        <f t="shared" si="5"/>
        <v>0</v>
      </c>
      <c r="P74" s="39"/>
    </row>
    <row r="75" spans="1:16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487366666</v>
      </c>
      <c r="I75" s="14">
        <f t="shared" ref="I75:I78" si="55">+F75-G75-H75</f>
        <v>460395334</v>
      </c>
      <c r="J75" s="13">
        <v>486500000</v>
      </c>
      <c r="K75" s="13">
        <v>0</v>
      </c>
      <c r="L75" s="13">
        <v>0</v>
      </c>
      <c r="M75" s="13">
        <v>0</v>
      </c>
      <c r="N75" s="15">
        <f t="shared" si="4"/>
        <v>0.51331452411048339</v>
      </c>
      <c r="O75" s="15">
        <f t="shared" si="5"/>
        <v>0</v>
      </c>
      <c r="P75" s="39"/>
    </row>
    <row r="76" spans="1:16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65099999</v>
      </c>
      <c r="I76" s="14">
        <f t="shared" si="55"/>
        <v>334900001</v>
      </c>
      <c r="J76" s="13">
        <v>65099999</v>
      </c>
      <c r="K76" s="13">
        <v>0</v>
      </c>
      <c r="L76" s="13">
        <v>0</v>
      </c>
      <c r="M76" s="13">
        <v>0</v>
      </c>
      <c r="N76" s="15">
        <f t="shared" si="4"/>
        <v>0.16274999749999999</v>
      </c>
      <c r="O76" s="15">
        <f t="shared" si="5"/>
        <v>0</v>
      </c>
      <c r="P76" s="39"/>
    </row>
    <row r="77" spans="1:16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0</v>
      </c>
      <c r="I77" s="14">
        <f t="shared" si="55"/>
        <v>201220000</v>
      </c>
      <c r="J77" s="13">
        <v>0</v>
      </c>
      <c r="K77" s="13">
        <v>0</v>
      </c>
      <c r="L77" s="13">
        <v>0</v>
      </c>
      <c r="M77" s="13">
        <v>0</v>
      </c>
      <c r="N77" s="15">
        <f t="shared" si="4"/>
        <v>0</v>
      </c>
      <c r="O77" s="15">
        <f t="shared" si="5"/>
        <v>0</v>
      </c>
      <c r="P77" s="39"/>
    </row>
    <row r="78" spans="1:16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383920545</v>
      </c>
      <c r="I78" s="14">
        <f t="shared" si="55"/>
        <v>467097455</v>
      </c>
      <c r="J78" s="13">
        <v>64866667</v>
      </c>
      <c r="K78" s="13">
        <v>0</v>
      </c>
      <c r="L78" s="13">
        <v>0</v>
      </c>
      <c r="M78" s="13">
        <v>0</v>
      </c>
      <c r="N78" s="15">
        <f t="shared" si="4"/>
        <v>7.6222438303302636E-2</v>
      </c>
      <c r="O78" s="15">
        <f t="shared" si="5"/>
        <v>0</v>
      </c>
      <c r="P78" s="39"/>
    </row>
    <row r="79" spans="1:16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  <c r="P79" s="39"/>
    </row>
    <row r="80" spans="1:16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  <c r="P80" s="39"/>
    </row>
    <row r="81" spans="1:16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/>
    </row>
    <row r="82" spans="1:16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  <c r="P82" s="39"/>
    </row>
    <row r="83" spans="1:16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  <c r="P83" s="39"/>
    </row>
    <row r="84" spans="1:16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  <c r="P84" s="39"/>
    </row>
    <row r="85" spans="1:16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1020000000</v>
      </c>
      <c r="F85" s="8">
        <f t="shared" si="58"/>
        <v>36191962728</v>
      </c>
      <c r="G85" s="8">
        <f t="shared" si="58"/>
        <v>2861504000</v>
      </c>
      <c r="H85" s="8">
        <f t="shared" si="58"/>
        <v>23786290601.820004</v>
      </c>
      <c r="I85" s="8">
        <f t="shared" si="58"/>
        <v>9544168126.1800003</v>
      </c>
      <c r="J85" s="8">
        <f t="shared" si="58"/>
        <v>10342671651.9</v>
      </c>
      <c r="K85" s="8">
        <f t="shared" si="58"/>
        <v>5753943227.5100002</v>
      </c>
      <c r="L85" s="8">
        <f t="shared" si="58"/>
        <v>5753943227.5100002</v>
      </c>
      <c r="M85" s="8">
        <f t="shared" si="58"/>
        <v>5732114217.5100002</v>
      </c>
      <c r="N85" s="9">
        <f t="shared" si="4"/>
        <v>0.28577261005793331</v>
      </c>
      <c r="O85" s="10">
        <f t="shared" si="5"/>
        <v>0.15898400622131631</v>
      </c>
    </row>
    <row r="86" spans="1:16" x14ac:dyDescent="0.25">
      <c r="A86" s="4" t="s">
        <v>25</v>
      </c>
    </row>
    <row r="89" spans="1:16" x14ac:dyDescent="0.25">
      <c r="C89" s="13">
        <f>+C85-Agosto!C86</f>
        <v>0</v>
      </c>
      <c r="D89" s="5"/>
      <c r="E89" s="5"/>
      <c r="F89" s="5">
        <f>+F85-Agosto!F86</f>
        <v>0</v>
      </c>
      <c r="G89" s="5"/>
      <c r="H89" s="5"/>
      <c r="I89" s="5"/>
      <c r="J89" s="5"/>
      <c r="K89" s="5"/>
      <c r="L89" s="5"/>
      <c r="M89" s="5"/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C30:E30 G30:M30 C60:E60 G60:H60 J60:M60" formulaRange="1"/>
    <ignoredError sqref="F30 F60 I60" formula="1" formulaRange="1"/>
    <ignoredError sqref="F20 F7:F9 I7:I9 F38:F47 I38:I47 F59 I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6"/>
  <sheetViews>
    <sheetView showGridLines="0"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M53" sqref="M53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+C6+C37+C53+C58</f>
        <v>29191962728</v>
      </c>
      <c r="D5" s="7">
        <f t="shared" ref="D5:M5" si="0">+D6+D37+D53+D58</f>
        <v>1020000000</v>
      </c>
      <c r="E5" s="7">
        <f t="shared" si="0"/>
        <v>1022058000</v>
      </c>
      <c r="F5" s="7">
        <f t="shared" si="0"/>
        <v>29189904728</v>
      </c>
      <c r="G5" s="7">
        <f t="shared" si="0"/>
        <v>2435000000</v>
      </c>
      <c r="H5" s="7">
        <f t="shared" si="0"/>
        <v>23140430993.010002</v>
      </c>
      <c r="I5" s="7">
        <f t="shared" si="0"/>
        <v>3614473734.9899998</v>
      </c>
      <c r="J5" s="7">
        <f t="shared" si="0"/>
        <v>11289097169.09</v>
      </c>
      <c r="K5" s="7">
        <f t="shared" si="0"/>
        <v>7087379365.9099998</v>
      </c>
      <c r="L5" s="7">
        <f t="shared" si="0"/>
        <v>7087379365.9099998</v>
      </c>
      <c r="M5" s="7">
        <f t="shared" si="0"/>
        <v>7064807829.9099998</v>
      </c>
      <c r="N5" s="9">
        <f>+J5/F5</f>
        <v>0.3867466260779226</v>
      </c>
      <c r="O5" s="10">
        <f>+K5/F5</f>
        <v>0.24280241514839657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 t="shared" ref="C6:M6" si="1">+C7+C36</f>
        <v>15579189000</v>
      </c>
      <c r="D6" s="7">
        <f t="shared" si="1"/>
        <v>0</v>
      </c>
      <c r="E6" s="7">
        <f t="shared" si="1"/>
        <v>0</v>
      </c>
      <c r="F6" s="7">
        <f t="shared" si="1"/>
        <v>15579189000</v>
      </c>
      <c r="G6" s="7">
        <f t="shared" si="1"/>
        <v>0</v>
      </c>
      <c r="H6" s="7">
        <f t="shared" si="1"/>
        <v>15579189000</v>
      </c>
      <c r="I6" s="7">
        <f t="shared" si="1"/>
        <v>0</v>
      </c>
      <c r="J6" s="7">
        <f t="shared" si="1"/>
        <v>4086658907</v>
      </c>
      <c r="K6" s="7">
        <f t="shared" si="1"/>
        <v>4086658907</v>
      </c>
      <c r="L6" s="7">
        <f t="shared" si="1"/>
        <v>4086658907</v>
      </c>
      <c r="M6" s="7">
        <f t="shared" si="1"/>
        <v>4064087371</v>
      </c>
      <c r="N6" s="9">
        <f>+J6/F6</f>
        <v>0.26231525318808313</v>
      </c>
      <c r="O6" s="10">
        <f>+K6/F6</f>
        <v>0.26231525318808313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0</v>
      </c>
      <c r="E7" s="18">
        <f>+E8+E20+E30</f>
        <v>0</v>
      </c>
      <c r="F7" s="19">
        <f t="shared" ref="F7:F35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4086658907</v>
      </c>
      <c r="K7" s="18">
        <f>+K8+K20+K30</f>
        <v>4086658907</v>
      </c>
      <c r="L7" s="18">
        <f>+L8+L20+L30</f>
        <v>4086658907</v>
      </c>
      <c r="M7" s="18">
        <f>+M8+M20+M30</f>
        <v>4064087371</v>
      </c>
      <c r="N7" s="20">
        <f>+J7/F7</f>
        <v>0.26969866442811952</v>
      </c>
      <c r="O7" s="20">
        <f>+K7/F7</f>
        <v>0.26969866442811952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5" si="3">+F8-G8-H8</f>
        <v>0</v>
      </c>
      <c r="J8" s="18">
        <f>+J9</f>
        <v>2748770919</v>
      </c>
      <c r="K8" s="18">
        <f>+K9</f>
        <v>2748770919</v>
      </c>
      <c r="L8" s="18">
        <f>+L9</f>
        <v>2748770919</v>
      </c>
      <c r="M8" s="18">
        <f>+M9</f>
        <v>2741482832</v>
      </c>
      <c r="N8" s="20">
        <f t="shared" ref="N8:N85" si="4">+J8/F8</f>
        <v>0.26220571242097285</v>
      </c>
      <c r="O8" s="20">
        <f t="shared" ref="O8:O85" si="5">+K8/F8</f>
        <v>0.26220571242097285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2748770919</v>
      </c>
      <c r="K9" s="18">
        <f>SUM(K10:K19)</f>
        <v>2748770919</v>
      </c>
      <c r="L9" s="18">
        <f>SUM(L10:L19)</f>
        <v>2748770919</v>
      </c>
      <c r="M9" s="18">
        <f>SUM(M10:M19)</f>
        <v>2741482832</v>
      </c>
      <c r="N9" s="20">
        <f t="shared" si="4"/>
        <v>0.26220571242097285</v>
      </c>
      <c r="O9" s="20">
        <f t="shared" si="5"/>
        <v>0.26220571242097285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2427161631</v>
      </c>
      <c r="K10" s="13">
        <v>2427161631</v>
      </c>
      <c r="L10" s="13">
        <v>2427161631</v>
      </c>
      <c r="M10" s="13">
        <v>2427161631</v>
      </c>
      <c r="N10" s="15">
        <f t="shared" si="4"/>
        <v>0.31673778298316585</v>
      </c>
      <c r="O10" s="15">
        <f t="shared" si="5"/>
        <v>0.31673778298316585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22566172</v>
      </c>
      <c r="K11" s="13">
        <v>22566172</v>
      </c>
      <c r="L11" s="13">
        <v>22566172</v>
      </c>
      <c r="M11" s="13">
        <v>22566172</v>
      </c>
      <c r="N11" s="15">
        <f t="shared" si="4"/>
        <v>0.30912564383561641</v>
      </c>
      <c r="O11" s="15">
        <f t="shared" si="5"/>
        <v>0.30912564383561641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125164253</v>
      </c>
      <c r="K12" s="13">
        <v>125164253</v>
      </c>
      <c r="L12" s="13">
        <v>125164253</v>
      </c>
      <c r="M12" s="13">
        <v>125164253</v>
      </c>
      <c r="N12" s="15">
        <f t="shared" si="4"/>
        <v>0.1955691453125</v>
      </c>
      <c r="O12" s="15">
        <f t="shared" si="5"/>
        <v>0.1955691453125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4241986</v>
      </c>
      <c r="K13" s="13">
        <v>4241986</v>
      </c>
      <c r="L13" s="13">
        <v>4241986</v>
      </c>
      <c r="M13" s="13">
        <v>4241986</v>
      </c>
      <c r="N13" s="15">
        <f t="shared" si="4"/>
        <v>0.30299900000000002</v>
      </c>
      <c r="O13" s="15">
        <f t="shared" si="5"/>
        <v>0.30299900000000002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4821861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91441093</v>
      </c>
      <c r="K16" s="13">
        <v>91441093</v>
      </c>
      <c r="L16" s="13">
        <v>91441093</v>
      </c>
      <c r="M16" s="13">
        <v>91441093</v>
      </c>
      <c r="N16" s="15">
        <f t="shared" si="4"/>
        <v>0.31861008013937281</v>
      </c>
      <c r="O16" s="15">
        <f t="shared" si="5"/>
        <v>0.31861008013937281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13230423</v>
      </c>
      <c r="K17" s="13">
        <v>13230423</v>
      </c>
      <c r="L17" s="13">
        <v>13230423</v>
      </c>
      <c r="M17" s="13">
        <v>13230423</v>
      </c>
      <c r="N17" s="15">
        <f t="shared" si="4"/>
        <v>0.22050705000000001</v>
      </c>
      <c r="O17" s="15">
        <f t="shared" si="5"/>
        <v>0.22050705000000001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1078122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55513822</v>
      </c>
      <c r="K19" s="13">
        <v>55513822</v>
      </c>
      <c r="L19" s="13">
        <v>55513822</v>
      </c>
      <c r="M19" s="13">
        <v>51777291</v>
      </c>
      <c r="N19" s="15">
        <f t="shared" si="4"/>
        <v>0.11393036175684079</v>
      </c>
      <c r="O19" s="15">
        <f t="shared" si="5"/>
        <v>0.11393036175684079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1099628267</v>
      </c>
      <c r="K20" s="18">
        <f t="shared" ref="K20:M20" si="9">SUM(K21:K29)</f>
        <v>1099628267</v>
      </c>
      <c r="L20" s="18">
        <f t="shared" si="9"/>
        <v>1099628267</v>
      </c>
      <c r="M20" s="18">
        <f t="shared" si="9"/>
        <v>1090091272</v>
      </c>
      <c r="N20" s="20">
        <f t="shared" si="4"/>
        <v>0.27693799151074405</v>
      </c>
      <c r="O20" s="20">
        <f t="shared" si="5"/>
        <v>0.27693799151074405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344014348</v>
      </c>
      <c r="K21" s="13">
        <v>344014348</v>
      </c>
      <c r="L21" s="13">
        <v>344014348</v>
      </c>
      <c r="M21" s="13">
        <v>344014348</v>
      </c>
      <c r="N21" s="15">
        <f t="shared" si="4"/>
        <v>0.28651960495258466</v>
      </c>
      <c r="O21" s="15">
        <f t="shared" si="5"/>
        <v>0.28651960495258466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243677648</v>
      </c>
      <c r="K22" s="13">
        <v>243677648</v>
      </c>
      <c r="L22" s="13">
        <v>243677648</v>
      </c>
      <c r="M22" s="13">
        <v>243677648</v>
      </c>
      <c r="N22" s="15">
        <f t="shared" si="4"/>
        <v>0.31240724102564105</v>
      </c>
      <c r="O22" s="15">
        <f t="shared" si="5"/>
        <v>0.31240724102564105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238682171</v>
      </c>
      <c r="K23" s="13">
        <v>238682171</v>
      </c>
      <c r="L23" s="13">
        <v>238682171</v>
      </c>
      <c r="M23" s="13">
        <v>229145176</v>
      </c>
      <c r="N23" s="15">
        <f t="shared" si="4"/>
        <v>0.25943714239130433</v>
      </c>
      <c r="O23" s="15">
        <f t="shared" si="5"/>
        <v>0.25943714239130433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114336200</v>
      </c>
      <c r="K24" s="13">
        <v>114336200</v>
      </c>
      <c r="L24" s="13">
        <v>114336200</v>
      </c>
      <c r="M24" s="13">
        <v>114336200</v>
      </c>
      <c r="N24" s="15">
        <f t="shared" si="4"/>
        <v>0.27222904761904759</v>
      </c>
      <c r="O24" s="15">
        <f t="shared" si="5"/>
        <v>0.27222904761904759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15925000</v>
      </c>
      <c r="K25" s="13">
        <v>15925000</v>
      </c>
      <c r="L25" s="13">
        <v>15925000</v>
      </c>
      <c r="M25" s="13">
        <v>15925000</v>
      </c>
      <c r="N25" s="15">
        <f t="shared" si="4"/>
        <v>0.22750000000000001</v>
      </c>
      <c r="O25" s="15">
        <f t="shared" si="5"/>
        <v>0.22750000000000001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85752300</v>
      </c>
      <c r="K26" s="13">
        <v>85752300</v>
      </c>
      <c r="L26" s="13">
        <v>85752300</v>
      </c>
      <c r="M26" s="13">
        <v>85752300</v>
      </c>
      <c r="N26" s="15">
        <f t="shared" si="4"/>
        <v>0.26797593749999998</v>
      </c>
      <c r="O26" s="15">
        <f t="shared" si="5"/>
        <v>0.26797593749999998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14317000</v>
      </c>
      <c r="K27" s="13">
        <v>14317000</v>
      </c>
      <c r="L27" s="13">
        <v>14317000</v>
      </c>
      <c r="M27" s="13">
        <v>14317000</v>
      </c>
      <c r="N27" s="15">
        <f t="shared" si="4"/>
        <v>0.20452857142857142</v>
      </c>
      <c r="O27" s="15">
        <f t="shared" si="5"/>
        <v>0.20452857142857142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14317000</v>
      </c>
      <c r="K28" s="13">
        <v>14317000</v>
      </c>
      <c r="L28" s="13">
        <v>14317000</v>
      </c>
      <c r="M28" s="13">
        <v>14317000</v>
      </c>
      <c r="N28" s="15">
        <f t="shared" si="4"/>
        <v>0.20452857142857142</v>
      </c>
      <c r="O28" s="15">
        <f t="shared" si="5"/>
        <v>0.20452857142857142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28606600</v>
      </c>
      <c r="K29" s="13">
        <v>28606600</v>
      </c>
      <c r="L29" s="13">
        <v>28606600</v>
      </c>
      <c r="M29" s="13">
        <v>28606600</v>
      </c>
      <c r="N29" s="15">
        <f t="shared" si="4"/>
        <v>0.23838833333333334</v>
      </c>
      <c r="O29" s="15">
        <f t="shared" si="5"/>
        <v>0.23838833333333334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0</v>
      </c>
      <c r="E30" s="18">
        <f t="shared" si="10"/>
        <v>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238259721</v>
      </c>
      <c r="K30" s="18">
        <f t="shared" ref="K30:M30" si="13">SUM(K31:K35)</f>
        <v>238259721</v>
      </c>
      <c r="L30" s="18">
        <f t="shared" si="13"/>
        <v>238259721</v>
      </c>
      <c r="M30" s="18">
        <f t="shared" si="13"/>
        <v>232513267</v>
      </c>
      <c r="N30" s="20">
        <f t="shared" si="4"/>
        <v>0.34097601887921142</v>
      </c>
      <c r="O30" s="20">
        <f t="shared" si="5"/>
        <v>0.34097601887921142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63468634</v>
      </c>
      <c r="K31" s="13">
        <v>63468634</v>
      </c>
      <c r="L31" s="13">
        <v>63468634</v>
      </c>
      <c r="M31" s="13">
        <v>63468634</v>
      </c>
      <c r="N31" s="15">
        <f t="shared" si="4"/>
        <v>0.21568690979627733</v>
      </c>
      <c r="O31" s="15">
        <f t="shared" si="5"/>
        <v>0.21568690979627733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0</v>
      </c>
      <c r="E32" s="13">
        <v>0</v>
      </c>
      <c r="F32" s="14">
        <f t="shared" si="2"/>
        <v>60000000</v>
      </c>
      <c r="G32" s="13">
        <v>0</v>
      </c>
      <c r="H32" s="13">
        <v>60000000</v>
      </c>
      <c r="I32" s="14">
        <f t="shared" si="3"/>
        <v>0</v>
      </c>
      <c r="J32" s="13">
        <v>59834526</v>
      </c>
      <c r="K32" s="13">
        <v>59834526</v>
      </c>
      <c r="L32" s="13">
        <v>59834526</v>
      </c>
      <c r="M32" s="13">
        <v>54534229</v>
      </c>
      <c r="N32" s="15">
        <f t="shared" si="4"/>
        <v>0.99724210000000002</v>
      </c>
      <c r="O32" s="15">
        <f t="shared" si="5"/>
        <v>0.99724210000000002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6421515</v>
      </c>
      <c r="K33" s="13">
        <v>6421515</v>
      </c>
      <c r="L33" s="13">
        <v>6421515</v>
      </c>
      <c r="M33" s="13">
        <v>5975358</v>
      </c>
      <c r="N33" s="15">
        <f t="shared" si="4"/>
        <v>0.13505104229759743</v>
      </c>
      <c r="O33" s="15">
        <f t="shared" si="5"/>
        <v>0.13505104229759743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0</v>
      </c>
      <c r="E34" s="13">
        <v>0</v>
      </c>
      <c r="F34" s="14">
        <f t="shared" si="2"/>
        <v>153946400</v>
      </c>
      <c r="G34" s="13">
        <v>0</v>
      </c>
      <c r="H34" s="13">
        <v>153946400</v>
      </c>
      <c r="I34" s="14">
        <f t="shared" si="3"/>
        <v>0</v>
      </c>
      <c r="J34" s="13">
        <v>83125874</v>
      </c>
      <c r="K34" s="13">
        <v>83125874</v>
      </c>
      <c r="L34" s="13">
        <v>83125874</v>
      </c>
      <c r="M34" s="13">
        <v>83125874</v>
      </c>
      <c r="N34" s="15">
        <f t="shared" si="4"/>
        <v>0.53996633893355095</v>
      </c>
      <c r="O34" s="15">
        <f t="shared" si="5"/>
        <v>0.53996633893355095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0</v>
      </c>
      <c r="F35" s="14">
        <f t="shared" si="2"/>
        <v>143000000</v>
      </c>
      <c r="G35" s="13">
        <v>0</v>
      </c>
      <c r="H35" s="13">
        <v>143000000</v>
      </c>
      <c r="I35" s="14">
        <f t="shared" si="3"/>
        <v>0</v>
      </c>
      <c r="J35" s="13">
        <v>25409172</v>
      </c>
      <c r="K35" s="13">
        <v>25409172</v>
      </c>
      <c r="L35" s="13">
        <v>25409172</v>
      </c>
      <c r="M35" s="13">
        <v>25409172</v>
      </c>
      <c r="N35" s="15">
        <f t="shared" si="4"/>
        <v>0.17768651748251749</v>
      </c>
      <c r="O35" s="15">
        <f t="shared" si="5"/>
        <v>0.17768651748251749</v>
      </c>
    </row>
    <row r="36" spans="1:22" ht="22.5" x14ac:dyDescent="0.25">
      <c r="A36" s="22" t="s">
        <v>95</v>
      </c>
      <c r="B36" s="23" t="s">
        <v>96</v>
      </c>
      <c r="C36" s="24">
        <v>426504000</v>
      </c>
      <c r="D36" s="24">
        <v>0</v>
      </c>
      <c r="E36" s="24">
        <v>0</v>
      </c>
      <c r="F36" s="25">
        <v>426504000</v>
      </c>
      <c r="G36" s="24">
        <v>0</v>
      </c>
      <c r="H36" s="24">
        <v>426504000</v>
      </c>
      <c r="I36" s="25">
        <v>0</v>
      </c>
      <c r="J36" s="24">
        <v>0</v>
      </c>
      <c r="K36" s="24">
        <v>0</v>
      </c>
      <c r="L36" s="24">
        <v>0</v>
      </c>
      <c r="M36" s="24">
        <v>0</v>
      </c>
      <c r="N36" s="26">
        <f t="shared" si="4"/>
        <v>0</v>
      </c>
      <c r="O36" s="26">
        <f t="shared" si="5"/>
        <v>0</v>
      </c>
    </row>
    <row r="37" spans="1:22" s="3" customFormat="1" x14ac:dyDescent="0.25">
      <c r="A37" s="60" t="s">
        <v>29</v>
      </c>
      <c r="B37" s="60"/>
      <c r="C37" s="8">
        <f>+C38+C42</f>
        <v>9897753728</v>
      </c>
      <c r="D37" s="8">
        <f t="shared" ref="D37:M37" si="14">+D38+D42</f>
        <v>1000000000</v>
      </c>
      <c r="E37" s="8">
        <f t="shared" si="14"/>
        <v>1002058000</v>
      </c>
      <c r="F37" s="8">
        <f t="shared" si="14"/>
        <v>9895695728</v>
      </c>
      <c r="G37" s="8">
        <f t="shared" si="14"/>
        <v>0</v>
      </c>
      <c r="H37" s="8">
        <f t="shared" si="14"/>
        <v>7461051993.0100002</v>
      </c>
      <c r="I37" s="8">
        <f t="shared" si="14"/>
        <v>2434643734.9899998</v>
      </c>
      <c r="J37" s="8">
        <f t="shared" si="14"/>
        <v>7172195633.0900002</v>
      </c>
      <c r="K37" s="8">
        <f t="shared" si="14"/>
        <v>2970477829.9099998</v>
      </c>
      <c r="L37" s="8">
        <f t="shared" si="14"/>
        <v>2970477829.9099998</v>
      </c>
      <c r="M37" s="8">
        <f t="shared" si="14"/>
        <v>2970477829.9099998</v>
      </c>
      <c r="N37" s="9">
        <f t="shared" si="4"/>
        <v>0.72477932125542011</v>
      </c>
      <c r="O37" s="10">
        <f t="shared" si="5"/>
        <v>0.30017877585958852</v>
      </c>
      <c r="P37" s="21"/>
      <c r="Q37" s="21"/>
      <c r="R37" s="21"/>
      <c r="S37" s="21"/>
      <c r="T37" s="21"/>
      <c r="U37" s="21"/>
      <c r="V37" s="21"/>
    </row>
    <row r="38" spans="1:22" x14ac:dyDescent="0.25">
      <c r="A38" s="16" t="s">
        <v>97</v>
      </c>
      <c r="B38" s="17" t="s">
        <v>98</v>
      </c>
      <c r="C38" s="18">
        <f>+C39</f>
        <v>135000000</v>
      </c>
      <c r="D38" s="18">
        <f t="shared" ref="D38:E38" si="15">+D39</f>
        <v>0</v>
      </c>
      <c r="E38" s="18">
        <f t="shared" si="15"/>
        <v>2058000</v>
      </c>
      <c r="F38" s="19">
        <f t="shared" ref="F38:F63" si="16">+C38+D38-E38</f>
        <v>132942000</v>
      </c>
      <c r="G38" s="18">
        <f t="shared" ref="G38:H38" si="17">+G39</f>
        <v>0</v>
      </c>
      <c r="H38" s="18">
        <f t="shared" si="17"/>
        <v>3192436.8</v>
      </c>
      <c r="I38" s="19">
        <f t="shared" ref="I38:I63" si="18">+F38-G38-H38</f>
        <v>129749563.2</v>
      </c>
      <c r="J38" s="18">
        <f t="shared" ref="J38:M38" si="19">+J39</f>
        <v>3192436.8</v>
      </c>
      <c r="K38" s="18">
        <f t="shared" si="19"/>
        <v>3192436</v>
      </c>
      <c r="L38" s="18">
        <f t="shared" si="19"/>
        <v>3192436</v>
      </c>
      <c r="M38" s="18">
        <f t="shared" si="19"/>
        <v>3192436</v>
      </c>
      <c r="N38" s="20">
        <f t="shared" si="4"/>
        <v>2.4013756374960508E-2</v>
      </c>
      <c r="O38" s="20">
        <f t="shared" si="5"/>
        <v>2.401375035729867E-2</v>
      </c>
    </row>
    <row r="39" spans="1:22" x14ac:dyDescent="0.25">
      <c r="A39" s="16" t="s">
        <v>99</v>
      </c>
      <c r="B39" s="17" t="s">
        <v>100</v>
      </c>
      <c r="C39" s="18">
        <f>SUM(C40:C41)</f>
        <v>135000000</v>
      </c>
      <c r="D39" s="18">
        <f t="shared" ref="D39:E39" si="20">SUM(D40:D41)</f>
        <v>0</v>
      </c>
      <c r="E39" s="18">
        <f t="shared" si="20"/>
        <v>2058000</v>
      </c>
      <c r="F39" s="19">
        <f t="shared" si="16"/>
        <v>132942000</v>
      </c>
      <c r="G39" s="18">
        <f t="shared" ref="G39:H39" si="21">SUM(G40:G41)</f>
        <v>0</v>
      </c>
      <c r="H39" s="18">
        <f t="shared" si="21"/>
        <v>3192436.8</v>
      </c>
      <c r="I39" s="19">
        <f t="shared" si="18"/>
        <v>129749563.2</v>
      </c>
      <c r="J39" s="18">
        <f t="shared" ref="J39:M39" si="22">SUM(J40:J41)</f>
        <v>3192436.8</v>
      </c>
      <c r="K39" s="18">
        <f t="shared" si="22"/>
        <v>3192436</v>
      </c>
      <c r="L39" s="18">
        <f t="shared" si="22"/>
        <v>3192436</v>
      </c>
      <c r="M39" s="18">
        <f t="shared" si="22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1" t="s">
        <v>101</v>
      </c>
      <c r="B40" s="12" t="s">
        <v>103</v>
      </c>
      <c r="C40" s="13">
        <v>40000000</v>
      </c>
      <c r="D40" s="13">
        <v>0</v>
      </c>
      <c r="E40" s="13">
        <v>0</v>
      </c>
      <c r="F40" s="14">
        <f t="shared" si="16"/>
        <v>40000000</v>
      </c>
      <c r="G40" s="13">
        <v>0</v>
      </c>
      <c r="H40" s="13">
        <v>0</v>
      </c>
      <c r="I40" s="14">
        <f t="shared" si="18"/>
        <v>40000000</v>
      </c>
      <c r="J40" s="13">
        <v>0</v>
      </c>
      <c r="K40" s="13">
        <v>0</v>
      </c>
      <c r="L40" s="13">
        <v>0</v>
      </c>
      <c r="M40" s="13">
        <v>0</v>
      </c>
      <c r="N40" s="15">
        <f t="shared" si="4"/>
        <v>0</v>
      </c>
      <c r="O40" s="15">
        <f t="shared" si="5"/>
        <v>0</v>
      </c>
    </row>
    <row r="41" spans="1:22" x14ac:dyDescent="0.25">
      <c r="A41" s="11" t="s">
        <v>102</v>
      </c>
      <c r="B41" s="12" t="s">
        <v>104</v>
      </c>
      <c r="C41" s="13">
        <v>95000000</v>
      </c>
      <c r="D41" s="13">
        <v>0</v>
      </c>
      <c r="E41" s="13">
        <v>2058000</v>
      </c>
      <c r="F41" s="14">
        <f t="shared" si="16"/>
        <v>92942000</v>
      </c>
      <c r="G41" s="13">
        <v>0</v>
      </c>
      <c r="H41" s="13">
        <v>3192436.8</v>
      </c>
      <c r="I41" s="14">
        <f t="shared" si="18"/>
        <v>89749563.200000003</v>
      </c>
      <c r="J41" s="13">
        <v>3192436.8</v>
      </c>
      <c r="K41" s="13">
        <v>3192436</v>
      </c>
      <c r="L41" s="13">
        <v>3192436</v>
      </c>
      <c r="M41" s="13">
        <v>3192436</v>
      </c>
      <c r="N41" s="15">
        <f t="shared" si="4"/>
        <v>3.4348699188741366E-2</v>
      </c>
      <c r="O41" s="15">
        <f t="shared" si="5"/>
        <v>3.4348690581222696E-2</v>
      </c>
    </row>
    <row r="42" spans="1:22" x14ac:dyDescent="0.25">
      <c r="A42" s="16" t="s">
        <v>105</v>
      </c>
      <c r="B42" s="17" t="s">
        <v>106</v>
      </c>
      <c r="C42" s="18">
        <f>+C43+C47</f>
        <v>9762753728</v>
      </c>
      <c r="D42" s="18">
        <f t="shared" ref="D42:E42" si="23">+D43+D47</f>
        <v>1000000000</v>
      </c>
      <c r="E42" s="18">
        <f t="shared" si="23"/>
        <v>1000000000</v>
      </c>
      <c r="F42" s="19">
        <f t="shared" si="16"/>
        <v>9762753728</v>
      </c>
      <c r="G42" s="18">
        <f t="shared" ref="G42:H42" si="24">+G43+G47</f>
        <v>0</v>
      </c>
      <c r="H42" s="18">
        <f t="shared" si="24"/>
        <v>7457859556.21</v>
      </c>
      <c r="I42" s="19">
        <f t="shared" si="18"/>
        <v>2304894171.79</v>
      </c>
      <c r="J42" s="18">
        <f t="shared" ref="J42:M42" si="25">+J43+J47</f>
        <v>7169003196.29</v>
      </c>
      <c r="K42" s="18">
        <f t="shared" si="25"/>
        <v>2967285393.9099998</v>
      </c>
      <c r="L42" s="18">
        <f t="shared" si="25"/>
        <v>2967285393.9099998</v>
      </c>
      <c r="M42" s="18">
        <f t="shared" si="25"/>
        <v>2967285393.9099998</v>
      </c>
      <c r="N42" s="20">
        <f t="shared" si="4"/>
        <v>0.73432183132193418</v>
      </c>
      <c r="O42" s="20">
        <f t="shared" si="5"/>
        <v>0.30393938806421972</v>
      </c>
    </row>
    <row r="43" spans="1:22" x14ac:dyDescent="0.25">
      <c r="A43" s="16" t="s">
        <v>107</v>
      </c>
      <c r="B43" s="17" t="s">
        <v>108</v>
      </c>
      <c r="C43" s="18">
        <f>SUM(C44:C46)</f>
        <v>92000000</v>
      </c>
      <c r="D43" s="18">
        <f t="shared" ref="D43:H43" si="26">SUM(D44:D46)</f>
        <v>0</v>
      </c>
      <c r="E43" s="18">
        <f t="shared" si="26"/>
        <v>0</v>
      </c>
      <c r="F43" s="19">
        <f>+C43+D43-E43</f>
        <v>92000000</v>
      </c>
      <c r="G43" s="18">
        <f t="shared" si="26"/>
        <v>0</v>
      </c>
      <c r="H43" s="18">
        <f t="shared" si="26"/>
        <v>53798298</v>
      </c>
      <c r="I43" s="19">
        <f t="shared" si="18"/>
        <v>38201702</v>
      </c>
      <c r="J43" s="18">
        <f t="shared" ref="J43" si="27">SUM(J44:J46)</f>
        <v>53798298</v>
      </c>
      <c r="K43" s="18">
        <f t="shared" ref="K43:M43" si="28">SUM(K44:K46)</f>
        <v>7244849</v>
      </c>
      <c r="L43" s="18">
        <f t="shared" si="28"/>
        <v>7244849</v>
      </c>
      <c r="M43" s="18">
        <f t="shared" si="28"/>
        <v>7244849</v>
      </c>
      <c r="N43" s="20">
        <f t="shared" si="4"/>
        <v>0.58476410869565221</v>
      </c>
      <c r="O43" s="20">
        <f t="shared" si="5"/>
        <v>7.8748358695652179E-2</v>
      </c>
    </row>
    <row r="44" spans="1:22" ht="22.5" x14ac:dyDescent="0.25">
      <c r="A44" s="11" t="s">
        <v>109</v>
      </c>
      <c r="B44" s="12" t="s">
        <v>111</v>
      </c>
      <c r="C44" s="13">
        <v>15000000</v>
      </c>
      <c r="D44" s="13">
        <v>0</v>
      </c>
      <c r="E44" s="13">
        <v>0</v>
      </c>
      <c r="F44" s="14">
        <f t="shared" si="16"/>
        <v>15000000</v>
      </c>
      <c r="G44" s="13">
        <v>0</v>
      </c>
      <c r="H44" s="13">
        <v>286790</v>
      </c>
      <c r="I44" s="14">
        <f t="shared" si="18"/>
        <v>14713210</v>
      </c>
      <c r="J44" s="13">
        <v>286790</v>
      </c>
      <c r="K44" s="13">
        <v>286790</v>
      </c>
      <c r="L44" s="13">
        <v>286790</v>
      </c>
      <c r="M44" s="13">
        <v>286790</v>
      </c>
      <c r="N44" s="15">
        <f t="shared" si="4"/>
        <v>1.9119333333333332E-2</v>
      </c>
      <c r="O44" s="15">
        <f t="shared" si="5"/>
        <v>1.9119333333333332E-2</v>
      </c>
    </row>
    <row r="45" spans="1:22" ht="22.5" x14ac:dyDescent="0.25">
      <c r="A45" s="11" t="s">
        <v>110</v>
      </c>
      <c r="B45" s="12" t="s">
        <v>112</v>
      </c>
      <c r="C45" s="13">
        <v>45000000</v>
      </c>
      <c r="D45" s="13">
        <v>0</v>
      </c>
      <c r="E45" s="13">
        <v>0</v>
      </c>
      <c r="F45" s="14">
        <f t="shared" si="16"/>
        <v>45000000</v>
      </c>
      <c r="G45" s="13">
        <v>0</v>
      </c>
      <c r="H45" s="13">
        <v>26242658</v>
      </c>
      <c r="I45" s="14">
        <f t="shared" si="18"/>
        <v>18757342</v>
      </c>
      <c r="J45" s="13">
        <v>26242658</v>
      </c>
      <c r="K45" s="13">
        <v>6958059</v>
      </c>
      <c r="L45" s="13">
        <v>6958059</v>
      </c>
      <c r="M45" s="13">
        <v>6958059</v>
      </c>
      <c r="N45" s="15">
        <f t="shared" si="4"/>
        <v>0.5831701777777778</v>
      </c>
      <c r="O45" s="15">
        <f t="shared" si="5"/>
        <v>0.15462353333333334</v>
      </c>
    </row>
    <row r="46" spans="1:22" x14ac:dyDescent="0.25">
      <c r="A46" s="11" t="s">
        <v>113</v>
      </c>
      <c r="B46" s="12" t="s">
        <v>114</v>
      </c>
      <c r="C46" s="13">
        <v>32000000</v>
      </c>
      <c r="D46" s="13">
        <v>0</v>
      </c>
      <c r="E46" s="13">
        <v>0</v>
      </c>
      <c r="F46" s="14">
        <f t="shared" si="16"/>
        <v>32000000</v>
      </c>
      <c r="G46" s="13">
        <v>0</v>
      </c>
      <c r="H46" s="13">
        <v>27268850</v>
      </c>
      <c r="I46" s="14">
        <f t="shared" si="18"/>
        <v>4731150</v>
      </c>
      <c r="J46" s="13">
        <v>27268850</v>
      </c>
      <c r="K46" s="13">
        <v>0</v>
      </c>
      <c r="L46" s="13">
        <v>0</v>
      </c>
      <c r="M46" s="13">
        <v>0</v>
      </c>
      <c r="N46" s="15">
        <f t="shared" si="4"/>
        <v>0.85215156250000001</v>
      </c>
      <c r="O46" s="15">
        <f t="shared" si="5"/>
        <v>0</v>
      </c>
    </row>
    <row r="47" spans="1:22" x14ac:dyDescent="0.25">
      <c r="A47" s="16" t="s">
        <v>115</v>
      </c>
      <c r="B47" s="17" t="s">
        <v>116</v>
      </c>
      <c r="C47" s="18">
        <f>SUM(C48:C52)</f>
        <v>9670753728</v>
      </c>
      <c r="D47" s="18">
        <f t="shared" ref="D47:E47" si="29">SUM(D48:D52)</f>
        <v>1000000000</v>
      </c>
      <c r="E47" s="18">
        <f t="shared" si="29"/>
        <v>1000000000</v>
      </c>
      <c r="F47" s="19">
        <f t="shared" si="16"/>
        <v>9670753728</v>
      </c>
      <c r="G47" s="18">
        <f t="shared" ref="G47:H47" si="30">SUM(G48:G52)</f>
        <v>0</v>
      </c>
      <c r="H47" s="18">
        <f t="shared" si="30"/>
        <v>7404061258.21</v>
      </c>
      <c r="I47" s="19">
        <f t="shared" si="18"/>
        <v>2266692469.79</v>
      </c>
      <c r="J47" s="18">
        <f t="shared" ref="J47:M47" si="31">SUM(J48:J52)</f>
        <v>7115204898.29</v>
      </c>
      <c r="K47" s="18">
        <f t="shared" si="31"/>
        <v>2960040544.9099998</v>
      </c>
      <c r="L47" s="18">
        <f t="shared" si="31"/>
        <v>2960040544.9099998</v>
      </c>
      <c r="M47" s="18">
        <f t="shared" si="31"/>
        <v>2960040544.9099998</v>
      </c>
      <c r="N47" s="20">
        <f t="shared" si="4"/>
        <v>0.73574460671965525</v>
      </c>
      <c r="O47" s="20">
        <f t="shared" si="5"/>
        <v>0.30608167968745942</v>
      </c>
    </row>
    <row r="48" spans="1:22" ht="45" x14ac:dyDescent="0.25">
      <c r="A48" s="11" t="s">
        <v>117</v>
      </c>
      <c r="B48" s="12" t="s">
        <v>122</v>
      </c>
      <c r="C48" s="13">
        <v>1188000000</v>
      </c>
      <c r="D48" s="13">
        <v>5000000</v>
      </c>
      <c r="E48" s="13">
        <v>0</v>
      </c>
      <c r="F48" s="14">
        <f t="shared" si="16"/>
        <v>1193000000</v>
      </c>
      <c r="G48" s="13">
        <v>0</v>
      </c>
      <c r="H48" s="13">
        <v>1131912089</v>
      </c>
      <c r="I48" s="14">
        <f t="shared" si="18"/>
        <v>61087911</v>
      </c>
      <c r="J48" s="27">
        <v>1086073019</v>
      </c>
      <c r="K48" s="27">
        <v>264075220</v>
      </c>
      <c r="L48" s="27">
        <v>264075220</v>
      </c>
      <c r="M48" s="27">
        <v>264075220</v>
      </c>
      <c r="N48" s="15">
        <f t="shared" si="4"/>
        <v>0.91037134870075442</v>
      </c>
      <c r="O48" s="15">
        <f t="shared" si="5"/>
        <v>0.22135391450125733</v>
      </c>
    </row>
    <row r="49" spans="1:22" ht="22.5" x14ac:dyDescent="0.25">
      <c r="A49" s="11" t="s">
        <v>118</v>
      </c>
      <c r="B49" s="12" t="s">
        <v>123</v>
      </c>
      <c r="C49" s="13">
        <v>6025950512</v>
      </c>
      <c r="D49" s="13">
        <v>0</v>
      </c>
      <c r="E49" s="13">
        <v>1000000000</v>
      </c>
      <c r="F49" s="14">
        <f t="shared" si="16"/>
        <v>5025950512</v>
      </c>
      <c r="G49" s="13">
        <v>0</v>
      </c>
      <c r="H49" s="13">
        <v>4328778750</v>
      </c>
      <c r="I49" s="14">
        <f t="shared" si="18"/>
        <v>697171762</v>
      </c>
      <c r="J49" s="27">
        <v>4328778750</v>
      </c>
      <c r="K49" s="27">
        <v>2310777880</v>
      </c>
      <c r="L49" s="27">
        <v>2310777880</v>
      </c>
      <c r="M49" s="27">
        <v>2310777880</v>
      </c>
      <c r="N49" s="15">
        <f t="shared" si="4"/>
        <v>0.86128558959436086</v>
      </c>
      <c r="O49" s="15">
        <f t="shared" si="5"/>
        <v>0.45976932611707338</v>
      </c>
    </row>
    <row r="50" spans="1:22" ht="22.5" x14ac:dyDescent="0.25">
      <c r="A50" s="11" t="s">
        <v>119</v>
      </c>
      <c r="B50" s="12" t="s">
        <v>124</v>
      </c>
      <c r="C50" s="13">
        <v>1424556980</v>
      </c>
      <c r="D50" s="13">
        <v>863000000</v>
      </c>
      <c r="E50" s="13">
        <v>0</v>
      </c>
      <c r="F50" s="14">
        <f t="shared" si="16"/>
        <v>2287556980</v>
      </c>
      <c r="G50" s="13">
        <v>0</v>
      </c>
      <c r="H50" s="13">
        <v>1605876174.21</v>
      </c>
      <c r="I50" s="14">
        <f t="shared" si="18"/>
        <v>681680805.78999996</v>
      </c>
      <c r="J50" s="27">
        <v>1560945417.29</v>
      </c>
      <c r="K50" s="27">
        <v>261794232.91</v>
      </c>
      <c r="L50" s="27">
        <v>261794232.91</v>
      </c>
      <c r="M50" s="27">
        <v>261794232.91</v>
      </c>
      <c r="N50" s="15">
        <f t="shared" si="4"/>
        <v>0.68236351310033816</v>
      </c>
      <c r="O50" s="15">
        <f t="shared" si="5"/>
        <v>0.11444271561270575</v>
      </c>
    </row>
    <row r="51" spans="1:22" ht="22.5" x14ac:dyDescent="0.25">
      <c r="A51" s="11" t="s">
        <v>120</v>
      </c>
      <c r="B51" s="12" t="s">
        <v>125</v>
      </c>
      <c r="C51" s="13">
        <v>732246236</v>
      </c>
      <c r="D51" s="13">
        <v>132000000</v>
      </c>
      <c r="E51" s="13">
        <v>0</v>
      </c>
      <c r="F51" s="14">
        <f t="shared" si="16"/>
        <v>864246236</v>
      </c>
      <c r="G51" s="13">
        <v>0</v>
      </c>
      <c r="H51" s="13">
        <v>120975547</v>
      </c>
      <c r="I51" s="14">
        <f t="shared" si="18"/>
        <v>743270689</v>
      </c>
      <c r="J51" s="27">
        <v>19620660</v>
      </c>
      <c r="K51" s="27">
        <v>3606160</v>
      </c>
      <c r="L51" s="27">
        <v>3606160</v>
      </c>
      <c r="M51" s="27">
        <v>3606160</v>
      </c>
      <c r="N51" s="15">
        <f t="shared" si="4"/>
        <v>2.2702627078609573E-2</v>
      </c>
      <c r="O51" s="15">
        <f t="shared" si="5"/>
        <v>4.1726071225839855E-3</v>
      </c>
    </row>
    <row r="52" spans="1:22" x14ac:dyDescent="0.25">
      <c r="A52" s="11" t="s">
        <v>121</v>
      </c>
      <c r="B52" s="12" t="s">
        <v>126</v>
      </c>
      <c r="C52" s="13">
        <v>300000000</v>
      </c>
      <c r="D52" s="13">
        <v>0</v>
      </c>
      <c r="E52" s="13">
        <v>0</v>
      </c>
      <c r="F52" s="14">
        <f t="shared" si="16"/>
        <v>300000000</v>
      </c>
      <c r="G52" s="13">
        <v>0</v>
      </c>
      <c r="H52" s="13">
        <v>216518698</v>
      </c>
      <c r="I52" s="14">
        <f t="shared" si="18"/>
        <v>83481302</v>
      </c>
      <c r="J52" s="27">
        <v>119787052</v>
      </c>
      <c r="K52" s="27">
        <v>119787052</v>
      </c>
      <c r="L52" s="27">
        <v>119787052</v>
      </c>
      <c r="M52" s="27">
        <v>119787052</v>
      </c>
      <c r="N52" s="15">
        <f t="shared" si="4"/>
        <v>0.39929017333333333</v>
      </c>
      <c r="O52" s="15">
        <f t="shared" si="5"/>
        <v>0.39929017333333333</v>
      </c>
    </row>
    <row r="53" spans="1:22" s="3" customFormat="1" x14ac:dyDescent="0.25">
      <c r="A53" s="60" t="s">
        <v>30</v>
      </c>
      <c r="B53" s="60"/>
      <c r="C53" s="8">
        <f>SUM(C54:C57)</f>
        <v>3649320000</v>
      </c>
      <c r="D53" s="8">
        <f>SUM(D54:D57)</f>
        <v>20000000</v>
      </c>
      <c r="E53" s="8">
        <f t="shared" ref="E53" si="32">SUM(E54:E57)</f>
        <v>20000000</v>
      </c>
      <c r="F53" s="8">
        <f>SUM(F54:F57)</f>
        <v>3649320000</v>
      </c>
      <c r="G53" s="8">
        <f t="shared" ref="G53:M53" si="33">SUM(G54:G57)</f>
        <v>2435000000</v>
      </c>
      <c r="H53" s="8">
        <f t="shared" si="33"/>
        <v>99860000</v>
      </c>
      <c r="I53" s="8">
        <f t="shared" si="33"/>
        <v>1114460000</v>
      </c>
      <c r="J53" s="8">
        <f t="shared" si="33"/>
        <v>29912629</v>
      </c>
      <c r="K53" s="8">
        <f t="shared" si="33"/>
        <v>29912629</v>
      </c>
      <c r="L53" s="8">
        <f t="shared" si="33"/>
        <v>29912629</v>
      </c>
      <c r="M53" s="8">
        <f t="shared" si="33"/>
        <v>29912629</v>
      </c>
      <c r="N53" s="9">
        <f t="shared" si="4"/>
        <v>8.1967678910043508E-3</v>
      </c>
      <c r="O53" s="10">
        <f t="shared" si="5"/>
        <v>8.1967678910043508E-3</v>
      </c>
      <c r="P53" s="21"/>
      <c r="Q53" s="21"/>
      <c r="R53" s="21"/>
      <c r="S53" s="21"/>
      <c r="T53" s="21"/>
      <c r="U53" s="21"/>
      <c r="V53" s="21"/>
    </row>
    <row r="54" spans="1:22" x14ac:dyDescent="0.25">
      <c r="A54" s="28" t="s">
        <v>127</v>
      </c>
      <c r="B54" s="29" t="s">
        <v>130</v>
      </c>
      <c r="C54" s="30">
        <v>2435000000</v>
      </c>
      <c r="D54" s="30">
        <v>0</v>
      </c>
      <c r="E54" s="30">
        <v>0</v>
      </c>
      <c r="F54" s="31">
        <f t="shared" ref="F54:F57" si="34">+C54+D54-E54</f>
        <v>2435000000</v>
      </c>
      <c r="G54" s="30">
        <v>2435000000</v>
      </c>
      <c r="H54" s="30">
        <v>0</v>
      </c>
      <c r="I54" s="31">
        <f t="shared" ref="I54:I57" si="35">+F54-G54-H54</f>
        <v>0</v>
      </c>
      <c r="J54" s="30">
        <v>0</v>
      </c>
      <c r="K54" s="30">
        <v>0</v>
      </c>
      <c r="L54" s="30">
        <v>0</v>
      </c>
      <c r="M54" s="30">
        <v>0</v>
      </c>
      <c r="N54" s="32">
        <f t="shared" si="4"/>
        <v>0</v>
      </c>
      <c r="O54" s="32">
        <f t="shared" si="5"/>
        <v>0</v>
      </c>
    </row>
    <row r="55" spans="1:22" x14ac:dyDescent="0.25">
      <c r="A55" s="11" t="s">
        <v>146</v>
      </c>
      <c r="B55" s="12" t="s">
        <v>148</v>
      </c>
      <c r="C55" s="13">
        <v>99860000</v>
      </c>
      <c r="D55" s="13">
        <v>0</v>
      </c>
      <c r="E55" s="13">
        <v>20000000</v>
      </c>
      <c r="F55" s="14">
        <f t="shared" si="34"/>
        <v>79860000</v>
      </c>
      <c r="G55" s="13">
        <v>0</v>
      </c>
      <c r="H55" s="13">
        <v>79860000</v>
      </c>
      <c r="I55" s="14">
        <f t="shared" si="35"/>
        <v>0</v>
      </c>
      <c r="J55" s="13">
        <v>25031824</v>
      </c>
      <c r="K55" s="13">
        <v>25031824</v>
      </c>
      <c r="L55" s="13">
        <v>25031824</v>
      </c>
      <c r="M55" s="13">
        <v>25031824</v>
      </c>
      <c r="N55" s="15">
        <f t="shared" si="4"/>
        <v>0.31344633107938891</v>
      </c>
      <c r="O55" s="15">
        <f t="shared" si="5"/>
        <v>0.31344633107938891</v>
      </c>
    </row>
    <row r="56" spans="1:22" ht="22.5" x14ac:dyDescent="0.25">
      <c r="A56" s="11" t="s">
        <v>147</v>
      </c>
      <c r="B56" s="12" t="s">
        <v>149</v>
      </c>
      <c r="C56" s="13">
        <v>0</v>
      </c>
      <c r="D56" s="13">
        <v>20000000</v>
      </c>
      <c r="E56" s="13">
        <v>0</v>
      </c>
      <c r="F56" s="14">
        <f t="shared" si="34"/>
        <v>20000000</v>
      </c>
      <c r="G56" s="13">
        <v>0</v>
      </c>
      <c r="H56" s="13">
        <v>20000000</v>
      </c>
      <c r="I56" s="14">
        <f t="shared" si="35"/>
        <v>0</v>
      </c>
      <c r="J56" s="13">
        <v>4880805</v>
      </c>
      <c r="K56" s="13">
        <v>4880805</v>
      </c>
      <c r="L56" s="13">
        <v>4880805</v>
      </c>
      <c r="M56" s="13">
        <v>4880805</v>
      </c>
      <c r="N56" s="15">
        <f t="shared" si="4"/>
        <v>0.24404024999999999</v>
      </c>
      <c r="O56" s="15">
        <f t="shared" si="5"/>
        <v>0.24404024999999999</v>
      </c>
    </row>
    <row r="57" spans="1:22" x14ac:dyDescent="0.25">
      <c r="A57" s="11" t="s">
        <v>129</v>
      </c>
      <c r="B57" s="12" t="s">
        <v>132</v>
      </c>
      <c r="C57" s="13">
        <v>1114460000</v>
      </c>
      <c r="D57" s="13">
        <v>0</v>
      </c>
      <c r="E57" s="13">
        <v>0</v>
      </c>
      <c r="F57" s="14">
        <f t="shared" si="34"/>
        <v>1114460000</v>
      </c>
      <c r="G57" s="13">
        <v>0</v>
      </c>
      <c r="H57" s="13">
        <v>0</v>
      </c>
      <c r="I57" s="14">
        <f t="shared" si="35"/>
        <v>1114460000</v>
      </c>
      <c r="J57" s="13">
        <v>0</v>
      </c>
      <c r="K57" s="13">
        <v>0</v>
      </c>
      <c r="L57" s="13">
        <v>0</v>
      </c>
      <c r="M57" s="13">
        <v>0</v>
      </c>
      <c r="N57" s="15">
        <f t="shared" si="4"/>
        <v>0</v>
      </c>
      <c r="O57" s="15">
        <f t="shared" si="5"/>
        <v>0</v>
      </c>
    </row>
    <row r="58" spans="1:22" s="3" customFormat="1" x14ac:dyDescent="0.25">
      <c r="A58" s="60" t="s">
        <v>31</v>
      </c>
      <c r="B58" s="60"/>
      <c r="C58" s="8">
        <f>+C59+C63</f>
        <v>65700000</v>
      </c>
      <c r="D58" s="8">
        <f t="shared" ref="D58:M58" si="36">+D59+D63</f>
        <v>0</v>
      </c>
      <c r="E58" s="8">
        <f t="shared" si="36"/>
        <v>0</v>
      </c>
      <c r="F58" s="8">
        <f t="shared" si="36"/>
        <v>65700000</v>
      </c>
      <c r="G58" s="8">
        <f t="shared" si="36"/>
        <v>0</v>
      </c>
      <c r="H58" s="8">
        <f t="shared" si="36"/>
        <v>330000</v>
      </c>
      <c r="I58" s="8">
        <f t="shared" si="36"/>
        <v>65370000</v>
      </c>
      <c r="J58" s="8">
        <f t="shared" si="36"/>
        <v>330000</v>
      </c>
      <c r="K58" s="8">
        <f t="shared" si="36"/>
        <v>330000</v>
      </c>
      <c r="L58" s="8">
        <f t="shared" si="36"/>
        <v>330000</v>
      </c>
      <c r="M58" s="8">
        <f t="shared" si="36"/>
        <v>330000</v>
      </c>
      <c r="N58" s="9">
        <f t="shared" si="4"/>
        <v>5.0228310502283104E-3</v>
      </c>
      <c r="O58" s="10">
        <f t="shared" si="5"/>
        <v>5.0228310502283104E-3</v>
      </c>
      <c r="P58" s="21"/>
      <c r="Q58" s="21"/>
      <c r="R58" s="21"/>
      <c r="S58" s="21"/>
      <c r="T58" s="21"/>
      <c r="U58" s="21"/>
      <c r="V58" s="21"/>
    </row>
    <row r="59" spans="1:22" x14ac:dyDescent="0.25">
      <c r="A59" s="16" t="s">
        <v>133</v>
      </c>
      <c r="B59" s="17" t="s">
        <v>134</v>
      </c>
      <c r="C59" s="18">
        <f>+C60</f>
        <v>10700000</v>
      </c>
      <c r="D59" s="18">
        <f t="shared" ref="D59:E59" si="37">+D60</f>
        <v>0</v>
      </c>
      <c r="E59" s="18">
        <f t="shared" si="37"/>
        <v>0</v>
      </c>
      <c r="F59" s="19">
        <f t="shared" ref="F59:F61" si="38">+C59+D59-E59</f>
        <v>10700000</v>
      </c>
      <c r="G59" s="18">
        <f t="shared" ref="G59:H59" si="39">+G60</f>
        <v>0</v>
      </c>
      <c r="H59" s="18">
        <f t="shared" si="39"/>
        <v>330000</v>
      </c>
      <c r="I59" s="19">
        <f t="shared" ref="I59:I61" si="40">+F59-G59-H59</f>
        <v>10370000</v>
      </c>
      <c r="J59" s="18">
        <f t="shared" ref="J59:M59" si="41">+J60</f>
        <v>330000</v>
      </c>
      <c r="K59" s="18">
        <f t="shared" si="41"/>
        <v>330000</v>
      </c>
      <c r="L59" s="18">
        <f t="shared" si="41"/>
        <v>330000</v>
      </c>
      <c r="M59" s="18">
        <f t="shared" si="41"/>
        <v>330000</v>
      </c>
      <c r="N59" s="20">
        <f t="shared" si="4"/>
        <v>3.0841121495327101E-2</v>
      </c>
      <c r="O59" s="20">
        <f t="shared" si="5"/>
        <v>3.0841121495327101E-2</v>
      </c>
    </row>
    <row r="60" spans="1:22" x14ac:dyDescent="0.25">
      <c r="A60" s="16" t="s">
        <v>135</v>
      </c>
      <c r="B60" s="17" t="s">
        <v>136</v>
      </c>
      <c r="C60" s="18">
        <f>SUM(C61:C62)</f>
        <v>10700000</v>
      </c>
      <c r="D60" s="18">
        <f t="shared" ref="D60:E60" si="42">SUM(D61:D62)</f>
        <v>0</v>
      </c>
      <c r="E60" s="18">
        <f t="shared" si="42"/>
        <v>0</v>
      </c>
      <c r="F60" s="19">
        <f t="shared" si="38"/>
        <v>10700000</v>
      </c>
      <c r="G60" s="18">
        <f t="shared" ref="G60:H60" si="43">SUM(G61:G62)</f>
        <v>0</v>
      </c>
      <c r="H60" s="18">
        <f t="shared" si="43"/>
        <v>330000</v>
      </c>
      <c r="I60" s="19">
        <f t="shared" si="40"/>
        <v>10370000</v>
      </c>
      <c r="J60" s="18">
        <f t="shared" ref="J60:M60" si="44">SUM(J61:J62)</f>
        <v>330000</v>
      </c>
      <c r="K60" s="18">
        <f t="shared" si="44"/>
        <v>330000</v>
      </c>
      <c r="L60" s="18">
        <f t="shared" si="44"/>
        <v>330000</v>
      </c>
      <c r="M60" s="18">
        <f t="shared" si="44"/>
        <v>330000</v>
      </c>
      <c r="N60" s="20">
        <f t="shared" si="4"/>
        <v>3.0841121495327101E-2</v>
      </c>
      <c r="O60" s="20">
        <f t="shared" si="5"/>
        <v>3.0841121495327101E-2</v>
      </c>
    </row>
    <row r="61" spans="1:22" x14ac:dyDescent="0.25">
      <c r="A61" s="11" t="s">
        <v>137</v>
      </c>
      <c r="B61" s="12" t="s">
        <v>139</v>
      </c>
      <c r="C61" s="13">
        <v>10350000</v>
      </c>
      <c r="D61" s="13">
        <v>0</v>
      </c>
      <c r="E61" s="13">
        <v>0</v>
      </c>
      <c r="F61" s="14">
        <f t="shared" si="38"/>
        <v>10350000</v>
      </c>
      <c r="G61" s="13">
        <v>0</v>
      </c>
      <c r="H61" s="13">
        <v>0</v>
      </c>
      <c r="I61" s="14">
        <f t="shared" si="40"/>
        <v>10350000</v>
      </c>
      <c r="J61" s="13">
        <v>0</v>
      </c>
      <c r="K61" s="13">
        <v>0</v>
      </c>
      <c r="L61" s="13">
        <v>0</v>
      </c>
      <c r="M61" s="13">
        <v>0</v>
      </c>
      <c r="N61" s="15">
        <f t="shared" si="4"/>
        <v>0</v>
      </c>
      <c r="O61" s="15">
        <f t="shared" si="5"/>
        <v>0</v>
      </c>
    </row>
    <row r="62" spans="1:22" x14ac:dyDescent="0.25">
      <c r="A62" s="11" t="s">
        <v>138</v>
      </c>
      <c r="B62" s="12" t="s">
        <v>140</v>
      </c>
      <c r="C62" s="13">
        <v>350000</v>
      </c>
      <c r="D62" s="13">
        <v>0</v>
      </c>
      <c r="E62" s="13">
        <v>0</v>
      </c>
      <c r="F62" s="14">
        <f t="shared" si="16"/>
        <v>350000</v>
      </c>
      <c r="G62" s="13">
        <v>0</v>
      </c>
      <c r="H62" s="13">
        <v>330000</v>
      </c>
      <c r="I62" s="14">
        <f t="shared" si="18"/>
        <v>20000</v>
      </c>
      <c r="J62" s="13">
        <v>330000</v>
      </c>
      <c r="K62" s="13">
        <v>330000</v>
      </c>
      <c r="L62" s="13">
        <v>330000</v>
      </c>
      <c r="M62" s="13">
        <v>330000</v>
      </c>
      <c r="N62" s="15">
        <f t="shared" si="4"/>
        <v>0.94285714285714284</v>
      </c>
      <c r="O62" s="15">
        <f t="shared" si="5"/>
        <v>0.94285714285714284</v>
      </c>
    </row>
    <row r="63" spans="1:22" x14ac:dyDescent="0.25">
      <c r="A63" s="16" t="s">
        <v>141</v>
      </c>
      <c r="B63" s="17" t="s">
        <v>142</v>
      </c>
      <c r="C63" s="18">
        <v>55000000</v>
      </c>
      <c r="D63" s="18">
        <v>0</v>
      </c>
      <c r="E63" s="18">
        <v>0</v>
      </c>
      <c r="F63" s="19">
        <f t="shared" si="16"/>
        <v>55000000</v>
      </c>
      <c r="G63" s="18">
        <v>0</v>
      </c>
      <c r="H63" s="18">
        <v>0</v>
      </c>
      <c r="I63" s="19">
        <f t="shared" si="18"/>
        <v>55000000</v>
      </c>
      <c r="J63" s="18">
        <v>0</v>
      </c>
      <c r="K63" s="18">
        <v>0</v>
      </c>
      <c r="L63" s="18">
        <v>0</v>
      </c>
      <c r="M63" s="18">
        <v>0</v>
      </c>
      <c r="N63" s="20">
        <f t="shared" si="4"/>
        <v>0</v>
      </c>
      <c r="O63" s="20">
        <f t="shared" si="5"/>
        <v>0</v>
      </c>
    </row>
    <row r="64" spans="1:22" x14ac:dyDescent="0.25">
      <c r="A64" s="68" t="s">
        <v>24</v>
      </c>
      <c r="B64" s="68"/>
      <c r="C64" s="8">
        <f>+C65+C67+C71+C74+C79+C82</f>
        <v>7000000000</v>
      </c>
      <c r="D64" s="8">
        <f t="shared" ref="D64:M64" si="45">+D65+D67+D71+D74+D79+D82</f>
        <v>0</v>
      </c>
      <c r="E64" s="8">
        <f t="shared" si="45"/>
        <v>0</v>
      </c>
      <c r="F64" s="8">
        <f t="shared" si="45"/>
        <v>7000000000</v>
      </c>
      <c r="G64" s="8">
        <f t="shared" si="45"/>
        <v>0</v>
      </c>
      <c r="H64" s="8">
        <f t="shared" si="45"/>
        <v>1988303882.8099999</v>
      </c>
      <c r="I64" s="8">
        <f t="shared" si="45"/>
        <v>5011696117.1900005</v>
      </c>
      <c r="J64" s="8">
        <f t="shared" si="45"/>
        <v>1770387589.8099999</v>
      </c>
      <c r="K64" s="8">
        <f t="shared" si="45"/>
        <v>60782999.670000002</v>
      </c>
      <c r="L64" s="8">
        <f t="shared" si="45"/>
        <v>60782999.670000002</v>
      </c>
      <c r="M64" s="8">
        <f t="shared" si="45"/>
        <v>60782999.670000002</v>
      </c>
      <c r="N64" s="9">
        <f t="shared" si="4"/>
        <v>0.25291251282999999</v>
      </c>
      <c r="O64" s="10">
        <f t="shared" si="5"/>
        <v>8.6832856671428572E-3</v>
      </c>
    </row>
    <row r="65" spans="1:15" ht="22.5" x14ac:dyDescent="0.25">
      <c r="A65" s="16" t="s">
        <v>32</v>
      </c>
      <c r="B65" s="17" t="s">
        <v>38</v>
      </c>
      <c r="C65" s="18">
        <f>+C66</f>
        <v>200000000</v>
      </c>
      <c r="D65" s="18">
        <f t="shared" ref="D65:M65" si="46">+D66</f>
        <v>0</v>
      </c>
      <c r="E65" s="18">
        <f t="shared" si="46"/>
        <v>0</v>
      </c>
      <c r="F65" s="18">
        <f t="shared" si="46"/>
        <v>200000000</v>
      </c>
      <c r="G65" s="18">
        <f t="shared" si="46"/>
        <v>0</v>
      </c>
      <c r="H65" s="18">
        <f t="shared" si="46"/>
        <v>0</v>
      </c>
      <c r="I65" s="18">
        <f t="shared" si="46"/>
        <v>200000000</v>
      </c>
      <c r="J65" s="18">
        <f t="shared" si="46"/>
        <v>0</v>
      </c>
      <c r="K65" s="18">
        <f t="shared" si="46"/>
        <v>0</v>
      </c>
      <c r="L65" s="18">
        <f t="shared" si="46"/>
        <v>0</v>
      </c>
      <c r="M65" s="18">
        <f t="shared" si="46"/>
        <v>0</v>
      </c>
      <c r="N65" s="20">
        <f t="shared" si="4"/>
        <v>0</v>
      </c>
      <c r="O65" s="20">
        <f t="shared" si="5"/>
        <v>0</v>
      </c>
    </row>
    <row r="66" spans="1:15" ht="22.5" x14ac:dyDescent="0.25">
      <c r="A66" s="33" t="s">
        <v>158</v>
      </c>
      <c r="B66" s="12" t="s">
        <v>159</v>
      </c>
      <c r="C66" s="13">
        <v>200000000</v>
      </c>
      <c r="D66" s="13">
        <v>0</v>
      </c>
      <c r="E66" s="13">
        <v>0</v>
      </c>
      <c r="F66" s="14">
        <f t="shared" ref="F66" si="47">+C66+D66-E66</f>
        <v>200000000</v>
      </c>
      <c r="G66" s="13">
        <v>0</v>
      </c>
      <c r="H66" s="13">
        <v>0</v>
      </c>
      <c r="I66" s="14">
        <f t="shared" ref="I66" si="48">+F66-G66-H66</f>
        <v>200000000</v>
      </c>
      <c r="J66" s="13">
        <v>0</v>
      </c>
      <c r="K66" s="13">
        <v>0</v>
      </c>
      <c r="L66" s="13">
        <v>0</v>
      </c>
      <c r="M66" s="13">
        <v>0</v>
      </c>
      <c r="N66" s="15">
        <f t="shared" si="4"/>
        <v>0</v>
      </c>
      <c r="O66" s="15">
        <f t="shared" si="5"/>
        <v>0</v>
      </c>
    </row>
    <row r="67" spans="1:15" ht="33.75" x14ac:dyDescent="0.25">
      <c r="A67" s="34" t="s">
        <v>33</v>
      </c>
      <c r="B67" s="17" t="s">
        <v>39</v>
      </c>
      <c r="C67" s="18">
        <f>SUM(C68:C70)</f>
        <v>1045900000</v>
      </c>
      <c r="D67" s="18">
        <f t="shared" ref="D67:M67" si="49">SUM(D68:D70)</f>
        <v>0</v>
      </c>
      <c r="E67" s="18">
        <f t="shared" si="49"/>
        <v>0</v>
      </c>
      <c r="F67" s="18">
        <f t="shared" si="49"/>
        <v>1045900000</v>
      </c>
      <c r="G67" s="18">
        <f t="shared" si="49"/>
        <v>0</v>
      </c>
      <c r="H67" s="18">
        <f t="shared" si="49"/>
        <v>0</v>
      </c>
      <c r="I67" s="18">
        <f t="shared" si="49"/>
        <v>1045900000</v>
      </c>
      <c r="J67" s="18">
        <f t="shared" si="49"/>
        <v>0</v>
      </c>
      <c r="K67" s="18">
        <f t="shared" si="49"/>
        <v>0</v>
      </c>
      <c r="L67" s="18">
        <f t="shared" si="49"/>
        <v>0</v>
      </c>
      <c r="M67" s="18">
        <f t="shared" si="49"/>
        <v>0</v>
      </c>
      <c r="N67" s="20">
        <f t="shared" si="4"/>
        <v>0</v>
      </c>
      <c r="O67" s="20">
        <f t="shared" si="5"/>
        <v>0</v>
      </c>
    </row>
    <row r="68" spans="1:15" ht="22.5" x14ac:dyDescent="0.25">
      <c r="A68" s="33" t="s">
        <v>160</v>
      </c>
      <c r="B68" s="12" t="s">
        <v>163</v>
      </c>
      <c r="C68" s="13">
        <v>185900000</v>
      </c>
      <c r="D68" s="13">
        <v>0</v>
      </c>
      <c r="E68" s="13">
        <v>0</v>
      </c>
      <c r="F68" s="14">
        <f t="shared" ref="F68:F73" si="50">+C68+D68-E68</f>
        <v>185900000</v>
      </c>
      <c r="G68" s="13">
        <v>0</v>
      </c>
      <c r="H68" s="13">
        <v>0</v>
      </c>
      <c r="I68" s="14">
        <f t="shared" ref="I68:I73" si="51">+F68-G68-H68</f>
        <v>185900000</v>
      </c>
      <c r="J68" s="13">
        <v>0</v>
      </c>
      <c r="K68" s="13">
        <v>0</v>
      </c>
      <c r="L68" s="13">
        <v>0</v>
      </c>
      <c r="M68" s="13">
        <v>0</v>
      </c>
      <c r="N68" s="15">
        <f t="shared" si="4"/>
        <v>0</v>
      </c>
      <c r="O68" s="15">
        <f t="shared" si="5"/>
        <v>0</v>
      </c>
    </row>
    <row r="69" spans="1:15" ht="22.5" x14ac:dyDescent="0.25">
      <c r="A69" s="33" t="s">
        <v>161</v>
      </c>
      <c r="B69" s="12" t="s">
        <v>164</v>
      </c>
      <c r="C69" s="13">
        <v>120000000</v>
      </c>
      <c r="D69" s="13">
        <v>0</v>
      </c>
      <c r="E69" s="13">
        <v>0</v>
      </c>
      <c r="F69" s="14">
        <f t="shared" si="50"/>
        <v>120000000</v>
      </c>
      <c r="G69" s="13">
        <v>0</v>
      </c>
      <c r="H69" s="13">
        <v>0</v>
      </c>
      <c r="I69" s="14">
        <f t="shared" si="51"/>
        <v>120000000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162</v>
      </c>
      <c r="B70" s="12" t="s">
        <v>165</v>
      </c>
      <c r="C70" s="13">
        <v>740000000</v>
      </c>
      <c r="D70" s="13">
        <v>0</v>
      </c>
      <c r="E70" s="13">
        <v>0</v>
      </c>
      <c r="F70" s="14">
        <f t="shared" si="50"/>
        <v>740000000</v>
      </c>
      <c r="G70" s="13">
        <v>0</v>
      </c>
      <c r="H70" s="13">
        <v>0</v>
      </c>
      <c r="I70" s="14">
        <f t="shared" si="51"/>
        <v>740000000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56.25" x14ac:dyDescent="0.25">
      <c r="A71" s="34" t="s">
        <v>34</v>
      </c>
      <c r="B71" s="17" t="s">
        <v>40</v>
      </c>
      <c r="C71" s="18">
        <f>SUM(C72:C73)</f>
        <v>2825211185</v>
      </c>
      <c r="D71" s="18">
        <f t="shared" ref="D71:M71" si="52">SUM(D72:D73)</f>
        <v>0</v>
      </c>
      <c r="E71" s="18">
        <f t="shared" si="52"/>
        <v>0</v>
      </c>
      <c r="F71" s="18">
        <f t="shared" si="52"/>
        <v>2825211185</v>
      </c>
      <c r="G71" s="18">
        <f t="shared" si="52"/>
        <v>0</v>
      </c>
      <c r="H71" s="18">
        <f t="shared" si="52"/>
        <v>578984673.80999994</v>
      </c>
      <c r="I71" s="18">
        <f t="shared" si="52"/>
        <v>2246226511.1900001</v>
      </c>
      <c r="J71" s="18">
        <f t="shared" si="52"/>
        <v>361068380.81</v>
      </c>
      <c r="K71" s="18">
        <f t="shared" si="52"/>
        <v>5000000</v>
      </c>
      <c r="L71" s="18">
        <f t="shared" si="52"/>
        <v>5000000</v>
      </c>
      <c r="M71" s="18">
        <f t="shared" si="52"/>
        <v>5000000</v>
      </c>
      <c r="N71" s="20">
        <f t="shared" si="4"/>
        <v>0.1278022622616794</v>
      </c>
      <c r="O71" s="20">
        <f t="shared" si="5"/>
        <v>1.76977920324919E-3</v>
      </c>
    </row>
    <row r="72" spans="1:15" ht="22.5" x14ac:dyDescent="0.25">
      <c r="A72" s="33" t="s">
        <v>166</v>
      </c>
      <c r="B72" s="12" t="s">
        <v>165</v>
      </c>
      <c r="C72" s="13">
        <v>1900000000</v>
      </c>
      <c r="D72" s="13">
        <v>0</v>
      </c>
      <c r="E72" s="13">
        <v>0</v>
      </c>
      <c r="F72" s="14">
        <f t="shared" si="50"/>
        <v>1900000000</v>
      </c>
      <c r="G72" s="13">
        <v>0</v>
      </c>
      <c r="H72" s="13">
        <v>578984673.80999994</v>
      </c>
      <c r="I72" s="14">
        <f t="shared" si="51"/>
        <v>1321015326.1900001</v>
      </c>
      <c r="J72" s="13">
        <v>361068380.81</v>
      </c>
      <c r="K72" s="13">
        <v>5000000</v>
      </c>
      <c r="L72" s="13">
        <v>5000000</v>
      </c>
      <c r="M72" s="13">
        <v>5000000</v>
      </c>
      <c r="N72" s="15">
        <f t="shared" si="4"/>
        <v>0.19003598990000001</v>
      </c>
      <c r="O72" s="15">
        <f t="shared" si="5"/>
        <v>2.631578947368421E-3</v>
      </c>
    </row>
    <row r="73" spans="1:15" ht="22.5" x14ac:dyDescent="0.25">
      <c r="A73" s="33" t="s">
        <v>167</v>
      </c>
      <c r="B73" s="12" t="s">
        <v>168</v>
      </c>
      <c r="C73" s="13">
        <v>925211185</v>
      </c>
      <c r="D73" s="13">
        <v>0</v>
      </c>
      <c r="E73" s="13">
        <v>0</v>
      </c>
      <c r="F73" s="14">
        <f t="shared" si="50"/>
        <v>925211185</v>
      </c>
      <c r="G73" s="13">
        <v>0</v>
      </c>
      <c r="H73" s="13">
        <v>0</v>
      </c>
      <c r="I73" s="14">
        <f t="shared" si="51"/>
        <v>925211185</v>
      </c>
      <c r="J73" s="13">
        <v>0</v>
      </c>
      <c r="K73" s="13">
        <v>0</v>
      </c>
      <c r="L73" s="13">
        <v>0</v>
      </c>
      <c r="M73" s="13">
        <v>0</v>
      </c>
      <c r="N73" s="15">
        <f t="shared" si="4"/>
        <v>0</v>
      </c>
      <c r="O73" s="15">
        <f t="shared" si="5"/>
        <v>0</v>
      </c>
    </row>
    <row r="74" spans="1:15" ht="45" x14ac:dyDescent="0.25">
      <c r="A74" s="34" t="s">
        <v>35</v>
      </c>
      <c r="B74" s="17" t="s">
        <v>41</v>
      </c>
      <c r="C74" s="18">
        <f>SUM(C75:C78)</f>
        <v>2400000000</v>
      </c>
      <c r="D74" s="18">
        <f t="shared" ref="D74:M74" si="53">SUM(D75:D78)</f>
        <v>0</v>
      </c>
      <c r="E74" s="18">
        <f t="shared" si="53"/>
        <v>0</v>
      </c>
      <c r="F74" s="18">
        <f t="shared" si="53"/>
        <v>2400000000</v>
      </c>
      <c r="G74" s="18">
        <f t="shared" si="53"/>
        <v>0</v>
      </c>
      <c r="H74" s="18">
        <f t="shared" si="53"/>
        <v>1249013357</v>
      </c>
      <c r="I74" s="18">
        <f t="shared" si="53"/>
        <v>1150986643</v>
      </c>
      <c r="J74" s="18">
        <f t="shared" si="53"/>
        <v>1249013357</v>
      </c>
      <c r="K74" s="18">
        <f t="shared" si="53"/>
        <v>55782999.670000002</v>
      </c>
      <c r="L74" s="18">
        <f t="shared" si="53"/>
        <v>55782999.670000002</v>
      </c>
      <c r="M74" s="18">
        <f t="shared" si="53"/>
        <v>55782999.670000002</v>
      </c>
      <c r="N74" s="20">
        <f t="shared" si="4"/>
        <v>0.52042223208333338</v>
      </c>
      <c r="O74" s="20">
        <f t="shared" si="5"/>
        <v>2.3242916529166668E-2</v>
      </c>
    </row>
    <row r="75" spans="1:15" ht="22.5" x14ac:dyDescent="0.25">
      <c r="A75" s="33" t="s">
        <v>150</v>
      </c>
      <c r="B75" s="12" t="s">
        <v>154</v>
      </c>
      <c r="C75" s="13">
        <v>947762000</v>
      </c>
      <c r="D75" s="13">
        <v>0</v>
      </c>
      <c r="E75" s="13">
        <v>0</v>
      </c>
      <c r="F75" s="14">
        <f t="shared" ref="F75:F78" si="54">+C75+D75-E75</f>
        <v>947762000</v>
      </c>
      <c r="G75" s="13">
        <v>0</v>
      </c>
      <c r="H75" s="13">
        <v>532150000</v>
      </c>
      <c r="I75" s="14">
        <f t="shared" ref="I75:I78" si="55">+F75-G75-H75</f>
        <v>415612000</v>
      </c>
      <c r="J75" s="13">
        <v>532150000</v>
      </c>
      <c r="K75" s="13">
        <v>47149666.670000002</v>
      </c>
      <c r="L75" s="13">
        <v>47149666.670000002</v>
      </c>
      <c r="M75" s="13">
        <v>47149666.670000002</v>
      </c>
      <c r="N75" s="15">
        <f t="shared" si="4"/>
        <v>0.56148062488261818</v>
      </c>
      <c r="O75" s="15">
        <f t="shared" si="5"/>
        <v>4.9748424889370965E-2</v>
      </c>
    </row>
    <row r="76" spans="1:15" ht="22.5" x14ac:dyDescent="0.25">
      <c r="A76" s="33" t="s">
        <v>151</v>
      </c>
      <c r="B76" s="12" t="s">
        <v>155</v>
      </c>
      <c r="C76" s="13">
        <v>400000000</v>
      </c>
      <c r="D76" s="13">
        <v>0</v>
      </c>
      <c r="E76" s="13">
        <v>0</v>
      </c>
      <c r="F76" s="14">
        <f t="shared" si="54"/>
        <v>400000000</v>
      </c>
      <c r="G76" s="13">
        <v>0</v>
      </c>
      <c r="H76" s="13">
        <v>180976145</v>
      </c>
      <c r="I76" s="14">
        <f t="shared" si="55"/>
        <v>219023855</v>
      </c>
      <c r="J76" s="13">
        <v>180976145</v>
      </c>
      <c r="K76" s="13">
        <v>4433333</v>
      </c>
      <c r="L76" s="13">
        <v>4433333</v>
      </c>
      <c r="M76" s="13">
        <v>4433333</v>
      </c>
      <c r="N76" s="15">
        <f t="shared" si="4"/>
        <v>0.45244036250000003</v>
      </c>
      <c r="O76" s="15">
        <f t="shared" si="5"/>
        <v>1.1083332499999999E-2</v>
      </c>
    </row>
    <row r="77" spans="1:15" ht="33.75" x14ac:dyDescent="0.25">
      <c r="A77" s="33" t="s">
        <v>152</v>
      </c>
      <c r="B77" s="12" t="s">
        <v>156</v>
      </c>
      <c r="C77" s="13">
        <v>201220000</v>
      </c>
      <c r="D77" s="13">
        <v>0</v>
      </c>
      <c r="E77" s="13">
        <v>0</v>
      </c>
      <c r="F77" s="14">
        <f t="shared" si="54"/>
        <v>201220000</v>
      </c>
      <c r="G77" s="13">
        <v>0</v>
      </c>
      <c r="H77" s="13">
        <v>67200000</v>
      </c>
      <c r="I77" s="14">
        <f t="shared" si="55"/>
        <v>134020000</v>
      </c>
      <c r="J77" s="13">
        <v>67200000</v>
      </c>
      <c r="K77" s="13">
        <v>0</v>
      </c>
      <c r="L77" s="13">
        <v>0</v>
      </c>
      <c r="M77" s="13">
        <v>0</v>
      </c>
      <c r="N77" s="15">
        <f t="shared" si="4"/>
        <v>0.33396282675678363</v>
      </c>
      <c r="O77" s="15">
        <f t="shared" si="5"/>
        <v>0</v>
      </c>
    </row>
    <row r="78" spans="1:15" ht="22.5" x14ac:dyDescent="0.25">
      <c r="A78" s="33" t="s">
        <v>153</v>
      </c>
      <c r="B78" s="12" t="s">
        <v>157</v>
      </c>
      <c r="C78" s="13">
        <v>851018000</v>
      </c>
      <c r="D78" s="13">
        <v>0</v>
      </c>
      <c r="E78" s="13">
        <v>0</v>
      </c>
      <c r="F78" s="14">
        <f t="shared" si="54"/>
        <v>851018000</v>
      </c>
      <c r="G78" s="13">
        <v>0</v>
      </c>
      <c r="H78" s="13">
        <v>468687212</v>
      </c>
      <c r="I78" s="14">
        <f t="shared" si="55"/>
        <v>382330788</v>
      </c>
      <c r="J78" s="13">
        <v>468687212</v>
      </c>
      <c r="K78" s="13">
        <v>4200000</v>
      </c>
      <c r="L78" s="13">
        <v>4200000</v>
      </c>
      <c r="M78" s="13">
        <v>4200000</v>
      </c>
      <c r="N78" s="15">
        <f t="shared" si="4"/>
        <v>0.55073713129452018</v>
      </c>
      <c r="O78" s="15">
        <f t="shared" si="5"/>
        <v>4.9352657640613943E-3</v>
      </c>
    </row>
    <row r="79" spans="1:15" ht="45" x14ac:dyDescent="0.25">
      <c r="A79" s="34" t="s">
        <v>36</v>
      </c>
      <c r="B79" s="17" t="s">
        <v>42</v>
      </c>
      <c r="C79" s="18">
        <f>SUM(C80:C81)</f>
        <v>200000000</v>
      </c>
      <c r="D79" s="18">
        <f t="shared" ref="D79:M79" si="56">SUM(D80:D81)</f>
        <v>0</v>
      </c>
      <c r="E79" s="18">
        <f t="shared" si="56"/>
        <v>0</v>
      </c>
      <c r="F79" s="18">
        <f t="shared" si="56"/>
        <v>200000000</v>
      </c>
      <c r="G79" s="18">
        <f t="shared" si="56"/>
        <v>0</v>
      </c>
      <c r="H79" s="18">
        <f t="shared" si="56"/>
        <v>0</v>
      </c>
      <c r="I79" s="18">
        <f t="shared" si="56"/>
        <v>200000000</v>
      </c>
      <c r="J79" s="18">
        <f t="shared" si="56"/>
        <v>0</v>
      </c>
      <c r="K79" s="18">
        <f t="shared" si="56"/>
        <v>0</v>
      </c>
      <c r="L79" s="18">
        <f t="shared" si="56"/>
        <v>0</v>
      </c>
      <c r="M79" s="18">
        <f t="shared" si="56"/>
        <v>0</v>
      </c>
      <c r="N79" s="20">
        <f t="shared" si="4"/>
        <v>0</v>
      </c>
      <c r="O79" s="20">
        <f t="shared" si="5"/>
        <v>0</v>
      </c>
    </row>
    <row r="80" spans="1:15" ht="22.5" x14ac:dyDescent="0.25">
      <c r="A80" s="33" t="s">
        <v>170</v>
      </c>
      <c r="B80" s="12" t="s">
        <v>164</v>
      </c>
      <c r="C80" s="13">
        <v>120000000</v>
      </c>
      <c r="D80" s="13">
        <v>0</v>
      </c>
      <c r="E80" s="13">
        <v>0</v>
      </c>
      <c r="F80" s="14">
        <f>+C80+D80-E80</f>
        <v>120000000</v>
      </c>
      <c r="G80" s="13">
        <v>0</v>
      </c>
      <c r="H80" s="13">
        <v>0</v>
      </c>
      <c r="I80" s="14">
        <f>+F80-G80-H80</f>
        <v>120000000</v>
      </c>
      <c r="J80" s="13">
        <v>0</v>
      </c>
      <c r="K80" s="13">
        <v>0</v>
      </c>
      <c r="L80" s="13">
        <v>0</v>
      </c>
      <c r="M80" s="13">
        <v>0</v>
      </c>
      <c r="N80" s="15">
        <f>+J80/F80</f>
        <v>0</v>
      </c>
      <c r="O80" s="15">
        <f>+K80/F80</f>
        <v>0</v>
      </c>
    </row>
    <row r="81" spans="1:15" ht="22.5" x14ac:dyDescent="0.25">
      <c r="A81" s="33" t="s">
        <v>169</v>
      </c>
      <c r="B81" s="12" t="s">
        <v>171</v>
      </c>
      <c r="C81" s="13">
        <v>80000000</v>
      </c>
      <c r="D81" s="13">
        <v>0</v>
      </c>
      <c r="E81" s="13">
        <v>0</v>
      </c>
      <c r="F81" s="14">
        <f>+C81+D81-E81</f>
        <v>80000000</v>
      </c>
      <c r="G81" s="13">
        <v>0</v>
      </c>
      <c r="H81" s="13">
        <v>0</v>
      </c>
      <c r="I81" s="14">
        <f>+F81-G81-H81</f>
        <v>80000000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33.75" x14ac:dyDescent="0.25">
      <c r="A82" s="34" t="s">
        <v>37</v>
      </c>
      <c r="B82" s="17" t="s">
        <v>43</v>
      </c>
      <c r="C82" s="18">
        <f>SUM(C83:C84)</f>
        <v>328888815</v>
      </c>
      <c r="D82" s="18">
        <f t="shared" ref="D82:M82" si="57">SUM(D83:D84)</f>
        <v>0</v>
      </c>
      <c r="E82" s="18">
        <f t="shared" si="57"/>
        <v>0</v>
      </c>
      <c r="F82" s="18">
        <f t="shared" si="57"/>
        <v>328888815</v>
      </c>
      <c r="G82" s="18">
        <f t="shared" si="57"/>
        <v>0</v>
      </c>
      <c r="H82" s="18">
        <f t="shared" si="57"/>
        <v>160305852</v>
      </c>
      <c r="I82" s="18">
        <f t="shared" si="57"/>
        <v>168582963</v>
      </c>
      <c r="J82" s="18">
        <f t="shared" si="57"/>
        <v>160305852</v>
      </c>
      <c r="K82" s="18">
        <f t="shared" si="57"/>
        <v>0</v>
      </c>
      <c r="L82" s="18">
        <f t="shared" si="57"/>
        <v>0</v>
      </c>
      <c r="M82" s="18">
        <f t="shared" si="57"/>
        <v>0</v>
      </c>
      <c r="N82" s="20">
        <f t="shared" si="4"/>
        <v>0.48741655139594819</v>
      </c>
      <c r="O82" s="20">
        <f t="shared" si="5"/>
        <v>0</v>
      </c>
    </row>
    <row r="83" spans="1:15" ht="33.75" x14ac:dyDescent="0.25">
      <c r="A83" s="33" t="s">
        <v>173</v>
      </c>
      <c r="B83" s="12" t="s">
        <v>156</v>
      </c>
      <c r="C83" s="13">
        <v>34688334</v>
      </c>
      <c r="D83" s="13">
        <v>0</v>
      </c>
      <c r="E83" s="13">
        <v>0</v>
      </c>
      <c r="F83" s="14">
        <f>+C83+D83-E83</f>
        <v>34688334</v>
      </c>
      <c r="G83" s="13">
        <v>0</v>
      </c>
      <c r="H83" s="13">
        <v>0</v>
      </c>
      <c r="I83" s="14">
        <f>+F83-G83-H83</f>
        <v>34688334</v>
      </c>
      <c r="J83" s="13">
        <v>0</v>
      </c>
      <c r="K83" s="13">
        <v>0</v>
      </c>
      <c r="L83" s="13">
        <v>0</v>
      </c>
      <c r="M83" s="13">
        <v>0</v>
      </c>
      <c r="N83" s="15">
        <f t="shared" si="4"/>
        <v>0</v>
      </c>
      <c r="O83" s="15">
        <f t="shared" si="5"/>
        <v>0</v>
      </c>
    </row>
    <row r="84" spans="1:15" ht="22.5" x14ac:dyDescent="0.25">
      <c r="A84" s="33" t="s">
        <v>172</v>
      </c>
      <c r="B84" s="12" t="s">
        <v>171</v>
      </c>
      <c r="C84" s="13">
        <v>294200481</v>
      </c>
      <c r="D84" s="13">
        <v>0</v>
      </c>
      <c r="E84" s="13">
        <v>0</v>
      </c>
      <c r="F84" s="14">
        <f>+C84+D84-E84</f>
        <v>294200481</v>
      </c>
      <c r="G84" s="13">
        <v>0</v>
      </c>
      <c r="H84" s="13">
        <v>160305852</v>
      </c>
      <c r="I84" s="14">
        <f>+F84-G84-H84</f>
        <v>133894629</v>
      </c>
      <c r="J84" s="13">
        <v>160305852</v>
      </c>
      <c r="K84" s="13">
        <v>0</v>
      </c>
      <c r="L84" s="13">
        <v>0</v>
      </c>
      <c r="M84" s="13">
        <v>0</v>
      </c>
      <c r="N84" s="15">
        <f t="shared" si="4"/>
        <v>0.54488643749022292</v>
      </c>
      <c r="O84" s="15">
        <f t="shared" si="5"/>
        <v>0</v>
      </c>
    </row>
    <row r="85" spans="1:15" x14ac:dyDescent="0.25">
      <c r="A85" s="68" t="s">
        <v>143</v>
      </c>
      <c r="B85" s="68" t="s">
        <v>0</v>
      </c>
      <c r="C85" s="7">
        <f t="shared" ref="C85:M85" si="58">+C5+C64</f>
        <v>36191962728</v>
      </c>
      <c r="D85" s="8">
        <f t="shared" si="58"/>
        <v>1020000000</v>
      </c>
      <c r="E85" s="8">
        <f t="shared" si="58"/>
        <v>1022058000</v>
      </c>
      <c r="F85" s="8">
        <f t="shared" si="58"/>
        <v>36189904728</v>
      </c>
      <c r="G85" s="8">
        <f t="shared" si="58"/>
        <v>2435000000</v>
      </c>
      <c r="H85" s="8">
        <f t="shared" si="58"/>
        <v>25128734875.820004</v>
      </c>
      <c r="I85" s="8">
        <f t="shared" si="58"/>
        <v>8626169852.1800003</v>
      </c>
      <c r="J85" s="8">
        <f t="shared" si="58"/>
        <v>13059484758.9</v>
      </c>
      <c r="K85" s="8">
        <f t="shared" si="58"/>
        <v>7148162365.5799999</v>
      </c>
      <c r="L85" s="8">
        <f t="shared" si="58"/>
        <v>7148162365.5799999</v>
      </c>
      <c r="M85" s="8">
        <f t="shared" si="58"/>
        <v>7125590829.5799999</v>
      </c>
      <c r="N85" s="9">
        <f t="shared" si="4"/>
        <v>0.36085988225318327</v>
      </c>
      <c r="O85" s="10">
        <f t="shared" si="5"/>
        <v>0.19751813162551635</v>
      </c>
    </row>
    <row r="86" spans="1:15" x14ac:dyDescent="0.25">
      <c r="A86" s="4" t="s">
        <v>25</v>
      </c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78740157480314965" bottom="0.59055118110236227" header="0.31496062992125984" footer="0.31496062992125984"/>
  <pageSetup paperSize="14" scale="70" orientation="landscape" r:id="rId1"/>
  <ignoredErrors>
    <ignoredError sqref="C30:E30 G30:M30 C60:E60 J60:M60" formulaRange="1"/>
    <ignoredError sqref="I7:I9 F20 F7:F9 F38:F39 F42:F43 F47 I38:I39 I42 I47 F59:I59 F67 I67 F71 I71 F74 I74 F79 I79 F82 I82" formula="1"/>
    <ignoredError sqref="F30 F60:I60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7"/>
  <sheetViews>
    <sheetView showGridLines="0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C57" sqref="C57:D5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179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1523582000</v>
      </c>
      <c r="E5" s="7">
        <f t="shared" si="0"/>
        <v>1523582000</v>
      </c>
      <c r="F5" s="7">
        <f t="shared" si="0"/>
        <v>29191962728</v>
      </c>
      <c r="G5" s="7">
        <f t="shared" si="0"/>
        <v>2435000000</v>
      </c>
      <c r="H5" s="7">
        <f t="shared" si="0"/>
        <v>23404235594.010002</v>
      </c>
      <c r="I5" s="7">
        <f t="shared" si="0"/>
        <v>3352727133.9899998</v>
      </c>
      <c r="J5" s="7">
        <f t="shared" si="0"/>
        <v>13225400554.119999</v>
      </c>
      <c r="K5" s="7">
        <f t="shared" si="0"/>
        <v>10331955059.139999</v>
      </c>
      <c r="L5" s="7">
        <f t="shared" si="0"/>
        <v>10331955059.139999</v>
      </c>
      <c r="M5" s="7">
        <f t="shared" si="0"/>
        <v>10246274007.139999</v>
      </c>
      <c r="N5" s="9">
        <f>+J5/F5</f>
        <v>0.45304937791779981</v>
      </c>
      <c r="O5" s="10">
        <f>+K5/F5</f>
        <v>0.35393149667288104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5247320817</v>
      </c>
      <c r="K6" s="7">
        <f t="shared" si="1"/>
        <v>5247073831</v>
      </c>
      <c r="L6" s="7">
        <f t="shared" si="1"/>
        <v>5247073831</v>
      </c>
      <c r="M6" s="7">
        <f>+M7+M36+M37</f>
        <v>5247073831</v>
      </c>
      <c r="N6" s="9">
        <f>+J6/F6</f>
        <v>0.3368160445964164</v>
      </c>
      <c r="O6" s="10">
        <f>+K6/F6</f>
        <v>0.3368001910112266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4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5247320817</v>
      </c>
      <c r="K7" s="18">
        <f>+K8+K20+K30</f>
        <v>5247073831</v>
      </c>
      <c r="L7" s="18">
        <f>+L8+L20+L30</f>
        <v>5247073831</v>
      </c>
      <c r="M7" s="18">
        <f>+M8+M20+M30</f>
        <v>5247073831</v>
      </c>
      <c r="N7" s="20">
        <f>+J7/F7</f>
        <v>0.34629643637414753</v>
      </c>
      <c r="O7" s="20">
        <f>+K7/F7</f>
        <v>0.34628013655665646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37" si="3">+F8-G8-H8</f>
        <v>0</v>
      </c>
      <c r="J8" s="18">
        <f>+J9</f>
        <v>3497199841</v>
      </c>
      <c r="K8" s="18">
        <f>+K9</f>
        <v>3496982916</v>
      </c>
      <c r="L8" s="18">
        <f>+L9</f>
        <v>3496982916</v>
      </c>
      <c r="M8" s="18">
        <f>+M9</f>
        <v>3496982916</v>
      </c>
      <c r="N8" s="20">
        <f t="shared" ref="N8:N86" si="4">+J8/F8</f>
        <v>0.33359847102919599</v>
      </c>
      <c r="O8" s="20">
        <f t="shared" ref="O8:O86" si="5">+K8/F8</f>
        <v>0.33357777851758152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3497199841</v>
      </c>
      <c r="K9" s="18">
        <f>SUM(K10:K19)</f>
        <v>3496982916</v>
      </c>
      <c r="L9" s="18">
        <f>SUM(L10:L19)</f>
        <v>3496982916</v>
      </c>
      <c r="M9" s="18">
        <f>SUM(M10:M19)</f>
        <v>3496982916</v>
      </c>
      <c r="N9" s="20">
        <f t="shared" si="4"/>
        <v>0.33359847102919599</v>
      </c>
      <c r="O9" s="20">
        <f t="shared" si="5"/>
        <v>0.33357777851758152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f t="shared" si="2"/>
        <v>7663000000</v>
      </c>
      <c r="G10" s="13">
        <v>0</v>
      </c>
      <c r="H10" s="13">
        <v>7663000000</v>
      </c>
      <c r="I10" s="14">
        <f t="shared" si="3"/>
        <v>0</v>
      </c>
      <c r="J10" s="13">
        <v>3049918362</v>
      </c>
      <c r="K10" s="13">
        <v>3049701437</v>
      </c>
      <c r="L10" s="13">
        <v>3049701437</v>
      </c>
      <c r="M10" s="13">
        <v>3049701437</v>
      </c>
      <c r="N10" s="15">
        <f t="shared" si="4"/>
        <v>0.398005789116534</v>
      </c>
      <c r="O10" s="15">
        <f t="shared" si="5"/>
        <v>0.39797748101265823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f t="shared" si="2"/>
        <v>73000000</v>
      </c>
      <c r="G11" s="13">
        <v>0</v>
      </c>
      <c r="H11" s="13">
        <v>73000000</v>
      </c>
      <c r="I11" s="14">
        <f t="shared" si="3"/>
        <v>0</v>
      </c>
      <c r="J11" s="13">
        <v>28207715</v>
      </c>
      <c r="K11" s="13">
        <v>28207715</v>
      </c>
      <c r="L11" s="13">
        <v>28207715</v>
      </c>
      <c r="M11" s="13">
        <v>28207715</v>
      </c>
      <c r="N11" s="15">
        <f t="shared" si="4"/>
        <v>0.38640705479452053</v>
      </c>
      <c r="O11" s="15">
        <f t="shared" si="5"/>
        <v>0.38640705479452053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f t="shared" si="2"/>
        <v>640000000</v>
      </c>
      <c r="G12" s="13">
        <v>0</v>
      </c>
      <c r="H12" s="13">
        <v>640000000</v>
      </c>
      <c r="I12" s="14">
        <f t="shared" si="3"/>
        <v>0</v>
      </c>
      <c r="J12" s="13">
        <v>163471381</v>
      </c>
      <c r="K12" s="13">
        <v>163471381</v>
      </c>
      <c r="L12" s="13">
        <v>163471381</v>
      </c>
      <c r="M12" s="13">
        <v>163471381</v>
      </c>
      <c r="N12" s="15">
        <f t="shared" si="4"/>
        <v>0.25542403281249998</v>
      </c>
      <c r="O12" s="15">
        <f t="shared" si="5"/>
        <v>0.25542403281249998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f t="shared" si="2"/>
        <v>14000000</v>
      </c>
      <c r="G13" s="13">
        <v>0</v>
      </c>
      <c r="H13" s="13">
        <v>14000000</v>
      </c>
      <c r="I13" s="14">
        <f t="shared" si="3"/>
        <v>0</v>
      </c>
      <c r="J13" s="13">
        <v>5174621</v>
      </c>
      <c r="K13" s="13">
        <v>5174621</v>
      </c>
      <c r="L13" s="13">
        <v>5174621</v>
      </c>
      <c r="M13" s="13">
        <v>5174621</v>
      </c>
      <c r="N13" s="15">
        <f t="shared" si="4"/>
        <v>0.36961578571428572</v>
      </c>
      <c r="O13" s="15">
        <f t="shared" si="5"/>
        <v>0.36961578571428572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f t="shared" si="2"/>
        <v>5000000</v>
      </c>
      <c r="G14" s="13">
        <v>0</v>
      </c>
      <c r="H14" s="13">
        <v>5000000</v>
      </c>
      <c r="I14" s="14">
        <f t="shared" si="3"/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f t="shared" si="2"/>
        <v>404000000</v>
      </c>
      <c r="G15" s="13">
        <v>0</v>
      </c>
      <c r="H15" s="13">
        <v>404000000</v>
      </c>
      <c r="I15" s="14">
        <f t="shared" si="3"/>
        <v>0</v>
      </c>
      <c r="J15" s="13">
        <v>6997779</v>
      </c>
      <c r="K15" s="13">
        <v>6997779</v>
      </c>
      <c r="L15" s="13">
        <v>6997779</v>
      </c>
      <c r="M15" s="13">
        <v>6997779</v>
      </c>
      <c r="N15" s="15">
        <f t="shared" si="4"/>
        <v>1.7321235148514851E-2</v>
      </c>
      <c r="O15" s="15">
        <f t="shared" si="5"/>
        <v>1.7321235148514851E-2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f t="shared" si="2"/>
        <v>287000000</v>
      </c>
      <c r="G16" s="13">
        <v>0</v>
      </c>
      <c r="H16" s="13">
        <v>287000000</v>
      </c>
      <c r="I16" s="14">
        <f t="shared" si="3"/>
        <v>0</v>
      </c>
      <c r="J16" s="13">
        <v>107984961</v>
      </c>
      <c r="K16" s="13">
        <v>107984961</v>
      </c>
      <c r="L16" s="13">
        <v>107984961</v>
      </c>
      <c r="M16" s="13">
        <v>107984961</v>
      </c>
      <c r="N16" s="15">
        <f t="shared" si="4"/>
        <v>0.37625421951219512</v>
      </c>
      <c r="O16" s="15">
        <f t="shared" si="5"/>
        <v>0.37625421951219512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f t="shared" si="2"/>
        <v>60000000</v>
      </c>
      <c r="G17" s="13">
        <v>0</v>
      </c>
      <c r="H17" s="13">
        <v>60000000</v>
      </c>
      <c r="I17" s="14">
        <f t="shared" si="3"/>
        <v>0</v>
      </c>
      <c r="J17" s="13">
        <v>18173578</v>
      </c>
      <c r="K17" s="13">
        <v>18173578</v>
      </c>
      <c r="L17" s="13">
        <v>18173578</v>
      </c>
      <c r="M17" s="13">
        <v>18173578</v>
      </c>
      <c r="N17" s="15">
        <f t="shared" si="4"/>
        <v>0.30289296666666665</v>
      </c>
      <c r="O17" s="15">
        <f t="shared" si="5"/>
        <v>0.30289296666666665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f t="shared" si="2"/>
        <v>850000000</v>
      </c>
      <c r="G18" s="13">
        <v>0</v>
      </c>
      <c r="H18" s="13">
        <v>850000000</v>
      </c>
      <c r="I18" s="14">
        <f t="shared" si="3"/>
        <v>0</v>
      </c>
      <c r="J18" s="13">
        <v>2453760</v>
      </c>
      <c r="K18" s="13">
        <v>2453760</v>
      </c>
      <c r="L18" s="13">
        <v>2453760</v>
      </c>
      <c r="M18" s="13">
        <v>2453760</v>
      </c>
      <c r="N18" s="15">
        <f t="shared" si="4"/>
        <v>2.8867764705882352E-3</v>
      </c>
      <c r="O18" s="15">
        <f t="shared" si="5"/>
        <v>2.8867764705882352E-3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f t="shared" si="2"/>
        <v>487261000</v>
      </c>
      <c r="G19" s="13">
        <v>0</v>
      </c>
      <c r="H19" s="13">
        <v>487261000</v>
      </c>
      <c r="I19" s="14">
        <f t="shared" si="3"/>
        <v>0</v>
      </c>
      <c r="J19" s="13">
        <v>114817684</v>
      </c>
      <c r="K19" s="13">
        <v>114817684</v>
      </c>
      <c r="L19" s="13">
        <v>114817684</v>
      </c>
      <c r="M19" s="13">
        <v>114817684</v>
      </c>
      <c r="N19" s="15">
        <f t="shared" si="4"/>
        <v>0.2356389778783855</v>
      </c>
      <c r="O19" s="15">
        <f t="shared" si="5"/>
        <v>0.2356389778783855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1377401002</v>
      </c>
      <c r="K20" s="18">
        <f t="shared" ref="K20:M20" si="9">SUM(K21:K29)</f>
        <v>1377401002</v>
      </c>
      <c r="L20" s="18">
        <f t="shared" si="9"/>
        <v>1377401002</v>
      </c>
      <c r="M20" s="18">
        <f t="shared" si="9"/>
        <v>1377401002</v>
      </c>
      <c r="N20" s="20">
        <f t="shared" si="4"/>
        <v>0.34689419910916708</v>
      </c>
      <c r="O20" s="20">
        <f t="shared" si="5"/>
        <v>0.34689419910916708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f t="shared" si="2"/>
        <v>1200666000</v>
      </c>
      <c r="G21" s="13">
        <v>0</v>
      </c>
      <c r="H21" s="13">
        <v>1200666000</v>
      </c>
      <c r="I21" s="14">
        <f t="shared" si="3"/>
        <v>0</v>
      </c>
      <c r="J21" s="13">
        <v>430015203</v>
      </c>
      <c r="K21" s="13">
        <v>430015203</v>
      </c>
      <c r="L21" s="13">
        <v>430015203</v>
      </c>
      <c r="M21" s="13">
        <v>430015203</v>
      </c>
      <c r="N21" s="15">
        <f t="shared" si="4"/>
        <v>0.35814723078691324</v>
      </c>
      <c r="O21" s="15">
        <f t="shared" si="5"/>
        <v>0.35814723078691324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f t="shared" si="2"/>
        <v>780000000</v>
      </c>
      <c r="G22" s="13">
        <v>0</v>
      </c>
      <c r="H22" s="13">
        <v>780000000</v>
      </c>
      <c r="I22" s="14">
        <f t="shared" si="3"/>
        <v>0</v>
      </c>
      <c r="J22" s="13">
        <v>304595403</v>
      </c>
      <c r="K22" s="13">
        <v>304595403</v>
      </c>
      <c r="L22" s="13">
        <v>304595403</v>
      </c>
      <c r="M22" s="13">
        <v>304595403</v>
      </c>
      <c r="N22" s="15">
        <f t="shared" si="4"/>
        <v>0.39050692692307692</v>
      </c>
      <c r="O22" s="15">
        <f t="shared" si="5"/>
        <v>0.39050692692307692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f t="shared" si="2"/>
        <v>920000000</v>
      </c>
      <c r="G23" s="13">
        <v>0</v>
      </c>
      <c r="H23" s="13">
        <v>920000000</v>
      </c>
      <c r="I23" s="14">
        <f t="shared" si="3"/>
        <v>0</v>
      </c>
      <c r="J23" s="13">
        <v>301118196</v>
      </c>
      <c r="K23" s="13">
        <v>301118196</v>
      </c>
      <c r="L23" s="13">
        <v>301118196</v>
      </c>
      <c r="M23" s="13">
        <v>301118196</v>
      </c>
      <c r="N23" s="15">
        <f t="shared" si="4"/>
        <v>0.32730238695652175</v>
      </c>
      <c r="O23" s="15">
        <f t="shared" si="5"/>
        <v>0.32730238695652175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f t="shared" si="2"/>
        <v>420000000</v>
      </c>
      <c r="G24" s="13">
        <v>0</v>
      </c>
      <c r="H24" s="13">
        <v>420000000</v>
      </c>
      <c r="I24" s="14">
        <f t="shared" si="3"/>
        <v>0</v>
      </c>
      <c r="J24" s="13">
        <v>142887100</v>
      </c>
      <c r="K24" s="13">
        <v>142887100</v>
      </c>
      <c r="L24" s="13">
        <v>142887100</v>
      </c>
      <c r="M24" s="13">
        <v>142887100</v>
      </c>
      <c r="N24" s="15">
        <f t="shared" si="4"/>
        <v>0.34020738095238096</v>
      </c>
      <c r="O24" s="15">
        <f t="shared" si="5"/>
        <v>0.34020738095238096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f t="shared" si="2"/>
        <v>70000000</v>
      </c>
      <c r="G25" s="13">
        <v>0</v>
      </c>
      <c r="H25" s="13">
        <v>70000000</v>
      </c>
      <c r="I25" s="14">
        <f t="shared" si="3"/>
        <v>0</v>
      </c>
      <c r="J25" s="13">
        <v>20083700</v>
      </c>
      <c r="K25" s="13">
        <v>20083700</v>
      </c>
      <c r="L25" s="13">
        <v>20083700</v>
      </c>
      <c r="M25" s="13">
        <v>20083700</v>
      </c>
      <c r="N25" s="15">
        <f t="shared" si="4"/>
        <v>0.28691</v>
      </c>
      <c r="O25" s="15">
        <f t="shared" si="5"/>
        <v>0.28691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f t="shared" si="2"/>
        <v>320000000</v>
      </c>
      <c r="G26" s="13">
        <v>0</v>
      </c>
      <c r="H26" s="13">
        <v>320000000</v>
      </c>
      <c r="I26" s="14">
        <f t="shared" si="3"/>
        <v>0</v>
      </c>
      <c r="J26" s="13">
        <v>107165000</v>
      </c>
      <c r="K26" s="13">
        <v>107165000</v>
      </c>
      <c r="L26" s="13">
        <v>107165000</v>
      </c>
      <c r="M26" s="13">
        <v>107165000</v>
      </c>
      <c r="N26" s="15">
        <f t="shared" si="4"/>
        <v>0.334890625</v>
      </c>
      <c r="O26" s="15">
        <f t="shared" si="5"/>
        <v>0.334890625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f t="shared" si="2"/>
        <v>70000000</v>
      </c>
      <c r="G27" s="13">
        <v>0</v>
      </c>
      <c r="H27" s="13">
        <v>70000000</v>
      </c>
      <c r="I27" s="14">
        <f t="shared" si="3"/>
        <v>0</v>
      </c>
      <c r="J27" s="13">
        <v>17892900</v>
      </c>
      <c r="K27" s="13">
        <v>17892900</v>
      </c>
      <c r="L27" s="13">
        <v>17892900</v>
      </c>
      <c r="M27" s="13">
        <v>17892900</v>
      </c>
      <c r="N27" s="15">
        <f t="shared" si="4"/>
        <v>0.25561285714285714</v>
      </c>
      <c r="O27" s="15">
        <f t="shared" si="5"/>
        <v>0.25561285714285714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f t="shared" si="2"/>
        <v>70000000</v>
      </c>
      <c r="G28" s="13">
        <v>0</v>
      </c>
      <c r="H28" s="13">
        <v>70000000</v>
      </c>
      <c r="I28" s="14">
        <f t="shared" si="3"/>
        <v>0</v>
      </c>
      <c r="J28" s="13">
        <v>17892900</v>
      </c>
      <c r="K28" s="13">
        <v>17892900</v>
      </c>
      <c r="L28" s="13">
        <v>17892900</v>
      </c>
      <c r="M28" s="13">
        <v>17892900</v>
      </c>
      <c r="N28" s="15">
        <f t="shared" si="4"/>
        <v>0.25561285714285714</v>
      </c>
      <c r="O28" s="15">
        <f t="shared" si="5"/>
        <v>0.25561285714285714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f t="shared" si="2"/>
        <v>120000000</v>
      </c>
      <c r="G29" s="13">
        <v>0</v>
      </c>
      <c r="H29" s="13">
        <v>120000000</v>
      </c>
      <c r="I29" s="14">
        <f t="shared" si="3"/>
        <v>0</v>
      </c>
      <c r="J29" s="13">
        <v>35750600</v>
      </c>
      <c r="K29" s="13">
        <v>35750600</v>
      </c>
      <c r="L29" s="13">
        <v>35750600</v>
      </c>
      <c r="M29" s="13">
        <v>35750600</v>
      </c>
      <c r="N29" s="15">
        <f t="shared" si="4"/>
        <v>0.29792166666666664</v>
      </c>
      <c r="O29" s="15">
        <f t="shared" si="5"/>
        <v>0.29792166666666664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372719974</v>
      </c>
      <c r="K30" s="18">
        <f t="shared" ref="K30:M30" si="13">SUM(K31:K35)</f>
        <v>372689913</v>
      </c>
      <c r="L30" s="18">
        <f t="shared" si="13"/>
        <v>372689913</v>
      </c>
      <c r="M30" s="18">
        <f t="shared" si="13"/>
        <v>372689913</v>
      </c>
      <c r="N30" s="20">
        <f t="shared" si="4"/>
        <v>0.53340351595259017</v>
      </c>
      <c r="O30" s="20">
        <f t="shared" si="5"/>
        <v>0.53336049533601049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f t="shared" si="2"/>
        <v>294262800</v>
      </c>
      <c r="G31" s="13">
        <v>0</v>
      </c>
      <c r="H31" s="13">
        <v>294262800</v>
      </c>
      <c r="I31" s="14">
        <f t="shared" si="3"/>
        <v>0</v>
      </c>
      <c r="J31" s="13">
        <v>146739016</v>
      </c>
      <c r="K31" s="13">
        <v>146739016</v>
      </c>
      <c r="L31" s="13">
        <v>146739016</v>
      </c>
      <c r="M31" s="13">
        <v>146739016</v>
      </c>
      <c r="N31" s="15">
        <f t="shared" si="4"/>
        <v>0.49866655248301855</v>
      </c>
      <c r="O31" s="15">
        <f t="shared" si="5"/>
        <v>0.49866655248301855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f t="shared" si="2"/>
        <v>87000000</v>
      </c>
      <c r="G32" s="13">
        <v>0</v>
      </c>
      <c r="H32" s="13">
        <v>87000000</v>
      </c>
      <c r="I32" s="14">
        <f t="shared" si="3"/>
        <v>0</v>
      </c>
      <c r="J32" s="13">
        <v>68095977</v>
      </c>
      <c r="K32" s="13">
        <v>68095977</v>
      </c>
      <c r="L32" s="13">
        <v>68095977</v>
      </c>
      <c r="M32" s="13">
        <v>68095977</v>
      </c>
      <c r="N32" s="15">
        <f t="shared" si="4"/>
        <v>0.78271237931034487</v>
      </c>
      <c r="O32" s="15">
        <f t="shared" si="5"/>
        <v>0.78271237931034487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f t="shared" si="2"/>
        <v>47548800</v>
      </c>
      <c r="G33" s="13">
        <v>0</v>
      </c>
      <c r="H33" s="13">
        <v>47548800</v>
      </c>
      <c r="I33" s="14">
        <f t="shared" si="3"/>
        <v>0</v>
      </c>
      <c r="J33" s="13">
        <v>12998756</v>
      </c>
      <c r="K33" s="13">
        <v>12998756</v>
      </c>
      <c r="L33" s="13">
        <v>12998756</v>
      </c>
      <c r="M33" s="13">
        <v>12998756</v>
      </c>
      <c r="N33" s="15">
        <f t="shared" si="4"/>
        <v>0.27337716198936673</v>
      </c>
      <c r="O33" s="15">
        <f t="shared" si="5"/>
        <v>0.27337716198936673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f t="shared" si="2"/>
        <v>201946400</v>
      </c>
      <c r="G34" s="13">
        <v>0</v>
      </c>
      <c r="H34" s="13">
        <v>201946400</v>
      </c>
      <c r="I34" s="14">
        <f t="shared" si="3"/>
        <v>0</v>
      </c>
      <c r="J34" s="13">
        <v>114177114</v>
      </c>
      <c r="K34" s="13">
        <v>114177114</v>
      </c>
      <c r="L34" s="13">
        <v>114177114</v>
      </c>
      <c r="M34" s="13">
        <v>114177114</v>
      </c>
      <c r="N34" s="15">
        <f t="shared" si="4"/>
        <v>0.56538326011258433</v>
      </c>
      <c r="O34" s="15">
        <f t="shared" si="5"/>
        <v>0.56538326011258433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f>+C35+D35-E35</f>
        <v>68000000</v>
      </c>
      <c r="G35" s="13">
        <v>0</v>
      </c>
      <c r="H35" s="13">
        <v>68000000</v>
      </c>
      <c r="I35" s="14">
        <f t="shared" si="3"/>
        <v>0</v>
      </c>
      <c r="J35" s="13">
        <v>30709111</v>
      </c>
      <c r="K35" s="13">
        <v>30679050</v>
      </c>
      <c r="L35" s="13">
        <v>30679050</v>
      </c>
      <c r="M35" s="13">
        <v>30679050</v>
      </c>
      <c r="N35" s="15">
        <f t="shared" si="4"/>
        <v>0.45160457352941175</v>
      </c>
      <c r="O35" s="15">
        <f t="shared" si="5"/>
        <v>0.45116250000000002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f t="shared" ref="F36:F37" si="14">+C36+D36-E36</f>
        <v>426504000</v>
      </c>
      <c r="G36" s="13">
        <v>0</v>
      </c>
      <c r="H36" s="13">
        <v>0</v>
      </c>
      <c r="I36" s="14">
        <f t="shared" si="3"/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f t="shared" si="14"/>
        <v>0</v>
      </c>
      <c r="G37" s="13">
        <v>0</v>
      </c>
      <c r="H37" s="13">
        <v>0</v>
      </c>
      <c r="I37" s="14">
        <f t="shared" si="3"/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5">+D39+D43</f>
        <v>1000000000</v>
      </c>
      <c r="E38" s="8">
        <f t="shared" si="15"/>
        <v>1002058000</v>
      </c>
      <c r="F38" s="8">
        <f t="shared" si="15"/>
        <v>9895695728</v>
      </c>
      <c r="G38" s="8">
        <f t="shared" si="15"/>
        <v>0</v>
      </c>
      <c r="H38" s="8">
        <f t="shared" si="15"/>
        <v>8138932594.0100002</v>
      </c>
      <c r="I38" s="8">
        <f t="shared" si="15"/>
        <v>1756763133.99</v>
      </c>
      <c r="J38" s="8">
        <f t="shared" si="15"/>
        <v>7926326756.1199999</v>
      </c>
      <c r="K38" s="8">
        <f t="shared" si="15"/>
        <v>5046307776.1400003</v>
      </c>
      <c r="L38" s="8">
        <f t="shared" si="15"/>
        <v>5046307776.1400003</v>
      </c>
      <c r="M38" s="8">
        <f t="shared" si="15"/>
        <v>4960626724.1400003</v>
      </c>
      <c r="N38" s="9">
        <f t="shared" si="4"/>
        <v>0.80098731549438762</v>
      </c>
      <c r="O38" s="10">
        <f t="shared" si="5"/>
        <v>0.50994977158214427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6">+D40</f>
        <v>0</v>
      </c>
      <c r="E39" s="18">
        <f t="shared" si="16"/>
        <v>2058000</v>
      </c>
      <c r="F39" s="19">
        <f t="shared" ref="F39:F64" si="17">+C39+D39-E39</f>
        <v>132942000</v>
      </c>
      <c r="G39" s="18">
        <f t="shared" ref="G39:H39" si="18">+G40</f>
        <v>0</v>
      </c>
      <c r="H39" s="18">
        <f t="shared" si="18"/>
        <v>3192436.8</v>
      </c>
      <c r="I39" s="19">
        <f t="shared" ref="I39:I64" si="19">+F39-G39-H39</f>
        <v>129749563.2</v>
      </c>
      <c r="J39" s="18">
        <f t="shared" ref="J39:M39" si="20">+J40</f>
        <v>3192436.8</v>
      </c>
      <c r="K39" s="18">
        <f t="shared" si="20"/>
        <v>3192436</v>
      </c>
      <c r="L39" s="18">
        <f t="shared" si="20"/>
        <v>3192436</v>
      </c>
      <c r="M39" s="18">
        <f t="shared" si="20"/>
        <v>3192436</v>
      </c>
      <c r="N39" s="20">
        <f t="shared" si="4"/>
        <v>2.4013756374960508E-2</v>
      </c>
      <c r="O39" s="20">
        <f t="shared" si="5"/>
        <v>2.401375035729867E-2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1">SUM(D41:D42)</f>
        <v>0</v>
      </c>
      <c r="E40" s="18">
        <f t="shared" si="21"/>
        <v>2058000</v>
      </c>
      <c r="F40" s="19">
        <f t="shared" si="17"/>
        <v>132942000</v>
      </c>
      <c r="G40" s="18">
        <f t="shared" ref="G40:H40" si="22">SUM(G41:G42)</f>
        <v>0</v>
      </c>
      <c r="H40" s="18">
        <f t="shared" si="22"/>
        <v>3192436.8</v>
      </c>
      <c r="I40" s="19">
        <f t="shared" si="19"/>
        <v>129749563.2</v>
      </c>
      <c r="J40" s="18">
        <f t="shared" ref="J40:M40" si="23">SUM(J41:J42)</f>
        <v>3192436.8</v>
      </c>
      <c r="K40" s="18">
        <f t="shared" si="23"/>
        <v>3192436</v>
      </c>
      <c r="L40" s="18">
        <f t="shared" si="23"/>
        <v>3192436</v>
      </c>
      <c r="M40" s="18">
        <f t="shared" si="23"/>
        <v>3192436</v>
      </c>
      <c r="N40" s="20">
        <f t="shared" si="4"/>
        <v>2.4013756374960508E-2</v>
      </c>
      <c r="O40" s="20">
        <f t="shared" si="5"/>
        <v>2.401375035729867E-2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f t="shared" si="17"/>
        <v>40000000</v>
      </c>
      <c r="G41" s="13">
        <v>0</v>
      </c>
      <c r="H41" s="13">
        <v>0</v>
      </c>
      <c r="I41" s="14">
        <f t="shared" si="19"/>
        <v>40000000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f t="shared" si="17"/>
        <v>92942000</v>
      </c>
      <c r="G42" s="13">
        <v>0</v>
      </c>
      <c r="H42" s="13">
        <v>3192436.8</v>
      </c>
      <c r="I42" s="14">
        <f t="shared" si="19"/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4">+D44+D48</f>
        <v>1000000000</v>
      </c>
      <c r="E43" s="18">
        <f t="shared" si="24"/>
        <v>1000000000</v>
      </c>
      <c r="F43" s="19">
        <f t="shared" si="17"/>
        <v>9762753728</v>
      </c>
      <c r="G43" s="18">
        <f t="shared" ref="G43:H43" si="25">+G44+G48</f>
        <v>0</v>
      </c>
      <c r="H43" s="18">
        <f t="shared" si="25"/>
        <v>8135740157.21</v>
      </c>
      <c r="I43" s="19">
        <f t="shared" si="19"/>
        <v>1627013570.79</v>
      </c>
      <c r="J43" s="18">
        <f t="shared" ref="J43:M43" si="26">+J44+J48</f>
        <v>7923134319.3199997</v>
      </c>
      <c r="K43" s="18">
        <f t="shared" si="26"/>
        <v>5043115340.1400003</v>
      </c>
      <c r="L43" s="18">
        <f t="shared" si="26"/>
        <v>5043115340.1400003</v>
      </c>
      <c r="M43" s="18">
        <f t="shared" si="26"/>
        <v>4957434288.1400003</v>
      </c>
      <c r="N43" s="20">
        <f t="shared" si="4"/>
        <v>0.81156756997732182</v>
      </c>
      <c r="O43" s="20">
        <f t="shared" si="5"/>
        <v>0.51656689092506014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7">SUM(D45:D47)</f>
        <v>0</v>
      </c>
      <c r="E44" s="18">
        <f t="shared" si="27"/>
        <v>0</v>
      </c>
      <c r="F44" s="19">
        <f>+C44+D44-E44</f>
        <v>92000000</v>
      </c>
      <c r="G44" s="18">
        <f t="shared" si="27"/>
        <v>0</v>
      </c>
      <c r="H44" s="18">
        <f t="shared" si="27"/>
        <v>54889498</v>
      </c>
      <c r="I44" s="19">
        <f t="shared" si="19"/>
        <v>37110502</v>
      </c>
      <c r="J44" s="18">
        <f t="shared" ref="J44" si="28">SUM(J45:J47)</f>
        <v>54889498</v>
      </c>
      <c r="K44" s="18">
        <f t="shared" ref="K44:M44" si="29">SUM(K45:K47)</f>
        <v>37233440</v>
      </c>
      <c r="L44" s="18">
        <f t="shared" si="29"/>
        <v>37233440</v>
      </c>
      <c r="M44" s="18">
        <f t="shared" si="29"/>
        <v>36881840</v>
      </c>
      <c r="N44" s="20">
        <f t="shared" si="4"/>
        <v>0.59662497826086958</v>
      </c>
      <c r="O44" s="20">
        <f t="shared" si="5"/>
        <v>0.4047113043478261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f t="shared" si="17"/>
        <v>15000000</v>
      </c>
      <c r="G45" s="13">
        <v>0</v>
      </c>
      <c r="H45" s="13">
        <v>443890</v>
      </c>
      <c r="I45" s="14">
        <f t="shared" si="19"/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f t="shared" si="17"/>
        <v>45000000</v>
      </c>
      <c r="G46" s="13">
        <v>0</v>
      </c>
      <c r="H46" s="13">
        <v>27176758</v>
      </c>
      <c r="I46" s="14">
        <f t="shared" si="19"/>
        <v>17823242</v>
      </c>
      <c r="J46" s="13">
        <v>27176758</v>
      </c>
      <c r="K46" s="13">
        <v>9520700</v>
      </c>
      <c r="L46" s="13">
        <v>9520700</v>
      </c>
      <c r="M46" s="13">
        <v>9169100</v>
      </c>
      <c r="N46" s="15">
        <f t="shared" si="4"/>
        <v>0.60392795555555556</v>
      </c>
      <c r="O46" s="15">
        <f t="shared" si="5"/>
        <v>0.2115711111111111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f t="shared" si="17"/>
        <v>32000000</v>
      </c>
      <c r="G47" s="13">
        <v>0</v>
      </c>
      <c r="H47" s="13">
        <v>27268850</v>
      </c>
      <c r="I47" s="14">
        <f t="shared" si="19"/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30">SUM(D49:D53)</f>
        <v>1000000000</v>
      </c>
      <c r="E48" s="18">
        <f t="shared" si="30"/>
        <v>1000000000</v>
      </c>
      <c r="F48" s="19">
        <f t="shared" si="17"/>
        <v>9670753728</v>
      </c>
      <c r="G48" s="18">
        <f t="shared" ref="G48:H48" si="31">SUM(G49:G53)</f>
        <v>0</v>
      </c>
      <c r="H48" s="18">
        <f t="shared" si="31"/>
        <v>8080850659.21</v>
      </c>
      <c r="I48" s="19">
        <f t="shared" si="19"/>
        <v>1589903068.79</v>
      </c>
      <c r="J48" s="18">
        <f t="shared" ref="J48:M48" si="32">SUM(J49:J53)</f>
        <v>7868244821.3199997</v>
      </c>
      <c r="K48" s="18">
        <f t="shared" si="32"/>
        <v>5005881900.1400003</v>
      </c>
      <c r="L48" s="18">
        <f t="shared" si="32"/>
        <v>5005881900.1400003</v>
      </c>
      <c r="M48" s="18">
        <f t="shared" si="32"/>
        <v>4920552448.1400003</v>
      </c>
      <c r="N48" s="20">
        <f t="shared" si="4"/>
        <v>0.81361236596676567</v>
      </c>
      <c r="O48" s="20">
        <f t="shared" si="5"/>
        <v>0.5176309976384087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f t="shared" si="17"/>
        <v>1193000000</v>
      </c>
      <c r="G49" s="13">
        <v>0</v>
      </c>
      <c r="H49" s="13">
        <v>1137218389</v>
      </c>
      <c r="I49" s="14">
        <f t="shared" si="19"/>
        <v>55781611</v>
      </c>
      <c r="J49" s="27">
        <v>1095931039</v>
      </c>
      <c r="K49" s="27">
        <v>316469738</v>
      </c>
      <c r="L49" s="27">
        <v>316469738</v>
      </c>
      <c r="M49" s="27">
        <v>314052738</v>
      </c>
      <c r="N49" s="15">
        <f t="shared" si="4"/>
        <v>0.91863456747694883</v>
      </c>
      <c r="O49" s="15">
        <f t="shared" si="5"/>
        <v>0.26527220284995812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f t="shared" si="17"/>
        <v>5025950512</v>
      </c>
      <c r="G50" s="13">
        <v>0</v>
      </c>
      <c r="H50" s="13">
        <v>4328778750</v>
      </c>
      <c r="I50" s="14">
        <f t="shared" si="19"/>
        <v>697171762</v>
      </c>
      <c r="J50" s="27">
        <v>4328778750</v>
      </c>
      <c r="K50" s="27">
        <v>4009427325</v>
      </c>
      <c r="L50" s="27">
        <v>4009427325</v>
      </c>
      <c r="M50" s="27">
        <v>3933554873</v>
      </c>
      <c r="N50" s="15">
        <f t="shared" si="4"/>
        <v>0.86128558959436086</v>
      </c>
      <c r="O50" s="15">
        <f t="shared" si="5"/>
        <v>0.79774508631293906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f t="shared" si="17"/>
        <v>2287556980</v>
      </c>
      <c r="G51" s="13">
        <v>0</v>
      </c>
      <c r="H51" s="13">
        <v>1737151828.21</v>
      </c>
      <c r="I51" s="14">
        <f t="shared" si="19"/>
        <v>550405151.78999996</v>
      </c>
      <c r="J51" s="27">
        <v>1639133617.3199999</v>
      </c>
      <c r="K51" s="27">
        <v>510483916.13999999</v>
      </c>
      <c r="L51" s="27">
        <v>510483916.13999999</v>
      </c>
      <c r="M51" s="27">
        <v>503443916.13999999</v>
      </c>
      <c r="N51" s="15">
        <f t="shared" si="4"/>
        <v>0.71654329559913299</v>
      </c>
      <c r="O51" s="15">
        <f t="shared" si="5"/>
        <v>0.22315680903388907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f t="shared" si="17"/>
        <v>864246236</v>
      </c>
      <c r="G52" s="13">
        <v>0</v>
      </c>
      <c r="H52" s="13">
        <v>660260736</v>
      </c>
      <c r="I52" s="14">
        <f t="shared" si="19"/>
        <v>203985500</v>
      </c>
      <c r="J52" s="27">
        <v>638866896</v>
      </c>
      <c r="K52" s="27">
        <v>4888660</v>
      </c>
      <c r="L52" s="27">
        <v>4888660</v>
      </c>
      <c r="M52" s="27">
        <v>4888660</v>
      </c>
      <c r="N52" s="15">
        <f t="shared" si="4"/>
        <v>0.73921860389797522</v>
      </c>
      <c r="O52" s="15">
        <f t="shared" si="5"/>
        <v>5.6565592031111835E-3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f t="shared" si="17"/>
        <v>300000000</v>
      </c>
      <c r="G53" s="13">
        <v>0</v>
      </c>
      <c r="H53" s="13">
        <v>217440956</v>
      </c>
      <c r="I53" s="14">
        <f t="shared" si="19"/>
        <v>82559044</v>
      </c>
      <c r="J53" s="27">
        <v>165534519</v>
      </c>
      <c r="K53" s="27">
        <v>164612261</v>
      </c>
      <c r="L53" s="27">
        <v>164612261</v>
      </c>
      <c r="M53" s="27">
        <v>164612261</v>
      </c>
      <c r="N53" s="15">
        <f t="shared" si="4"/>
        <v>0.55178172999999997</v>
      </c>
      <c r="O53" s="15">
        <f t="shared" si="5"/>
        <v>0.54870753666666672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20000000</v>
      </c>
      <c r="E54" s="8">
        <f t="shared" ref="E54" si="33">SUM(E55:E58)</f>
        <v>20000000</v>
      </c>
      <c r="F54" s="8">
        <f>SUM(F55:F58)</f>
        <v>3649320000</v>
      </c>
      <c r="G54" s="8">
        <f t="shared" ref="G54:M54" si="34">SUM(G55:G58)</f>
        <v>2435000000</v>
      </c>
      <c r="H54" s="8">
        <f t="shared" si="34"/>
        <v>99860000</v>
      </c>
      <c r="I54" s="8">
        <f t="shared" si="34"/>
        <v>1114460000</v>
      </c>
      <c r="J54" s="8">
        <f t="shared" si="34"/>
        <v>38994981</v>
      </c>
      <c r="K54" s="8">
        <f t="shared" si="34"/>
        <v>38243452</v>
      </c>
      <c r="L54" s="8">
        <f t="shared" si="34"/>
        <v>38243452</v>
      </c>
      <c r="M54" s="8">
        <f t="shared" si="34"/>
        <v>38243452</v>
      </c>
      <c r="N54" s="9">
        <f t="shared" si="4"/>
        <v>1.0685547170431752E-2</v>
      </c>
      <c r="O54" s="10">
        <f t="shared" si="5"/>
        <v>1.0479610447973868E-2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:F58" si="35">+C55+D55-E55</f>
        <v>2435000000</v>
      </c>
      <c r="G55" s="30">
        <v>2435000000</v>
      </c>
      <c r="H55" s="30">
        <v>0</v>
      </c>
      <c r="I55" s="31">
        <f t="shared" ref="I55:I58" si="36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0</v>
      </c>
      <c r="E56" s="13">
        <v>20000000</v>
      </c>
      <c r="F56" s="14">
        <f t="shared" si="35"/>
        <v>79860000</v>
      </c>
      <c r="G56" s="13">
        <v>0</v>
      </c>
      <c r="H56" s="13">
        <v>79860000</v>
      </c>
      <c r="I56" s="14">
        <f t="shared" si="36"/>
        <v>0</v>
      </c>
      <c r="J56" s="13">
        <v>32487241</v>
      </c>
      <c r="K56" s="13">
        <v>31735712</v>
      </c>
      <c r="L56" s="13">
        <v>31735712</v>
      </c>
      <c r="M56" s="13">
        <v>31735712</v>
      </c>
      <c r="N56" s="15">
        <f t="shared" si="4"/>
        <v>0.40680241672927625</v>
      </c>
      <c r="O56" s="15">
        <f t="shared" si="5"/>
        <v>0.39739183571249687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f t="shared" si="35"/>
        <v>20000000</v>
      </c>
      <c r="G57" s="13">
        <v>0</v>
      </c>
      <c r="H57" s="13">
        <v>20000000</v>
      </c>
      <c r="I57" s="14">
        <f t="shared" si="36"/>
        <v>0</v>
      </c>
      <c r="J57" s="13">
        <v>6507740</v>
      </c>
      <c r="K57" s="13">
        <v>6507740</v>
      </c>
      <c r="L57" s="13">
        <v>6507740</v>
      </c>
      <c r="M57" s="13">
        <v>6507740</v>
      </c>
      <c r="N57" s="15">
        <f t="shared" si="4"/>
        <v>0.32538699999999998</v>
      </c>
      <c r="O57" s="15">
        <f t="shared" si="5"/>
        <v>0.32538699999999998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f t="shared" si="35"/>
        <v>1114460000</v>
      </c>
      <c r="G58" s="13">
        <v>0</v>
      </c>
      <c r="H58" s="13">
        <v>0</v>
      </c>
      <c r="I58" s="14">
        <f t="shared" si="36"/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7">+D60+D64</f>
        <v>2078000</v>
      </c>
      <c r="E59" s="8">
        <f t="shared" si="37"/>
        <v>20000</v>
      </c>
      <c r="F59" s="8">
        <f t="shared" si="37"/>
        <v>67758000</v>
      </c>
      <c r="G59" s="8">
        <f t="shared" si="37"/>
        <v>0</v>
      </c>
      <c r="H59" s="8">
        <f t="shared" si="37"/>
        <v>12758000</v>
      </c>
      <c r="I59" s="8">
        <f t="shared" si="37"/>
        <v>55000000</v>
      </c>
      <c r="J59" s="8">
        <f t="shared" si="37"/>
        <v>12758000</v>
      </c>
      <c r="K59" s="8">
        <f t="shared" si="37"/>
        <v>330000</v>
      </c>
      <c r="L59" s="8">
        <f t="shared" si="37"/>
        <v>330000</v>
      </c>
      <c r="M59" s="8">
        <f t="shared" si="37"/>
        <v>330000</v>
      </c>
      <c r="N59" s="9">
        <f t="shared" si="4"/>
        <v>0.1882877298621565</v>
      </c>
      <c r="O59" s="10">
        <f t="shared" si="5"/>
        <v>4.8702736208270613E-3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8">+D61</f>
        <v>2078000</v>
      </c>
      <c r="E60" s="18">
        <f t="shared" si="38"/>
        <v>20000</v>
      </c>
      <c r="F60" s="19">
        <f t="shared" ref="F60:F62" si="39">+C60+D60-E60</f>
        <v>12758000</v>
      </c>
      <c r="G60" s="18">
        <f t="shared" ref="G60:H60" si="40">+G61</f>
        <v>0</v>
      </c>
      <c r="H60" s="18">
        <f t="shared" si="40"/>
        <v>12758000</v>
      </c>
      <c r="I60" s="19">
        <f t="shared" ref="I60:I62" si="41">+F60-G60-H60</f>
        <v>0</v>
      </c>
      <c r="J60" s="18">
        <f t="shared" ref="J60:M60" si="42">+J61</f>
        <v>12758000</v>
      </c>
      <c r="K60" s="18">
        <f t="shared" si="42"/>
        <v>330000</v>
      </c>
      <c r="L60" s="18">
        <f t="shared" si="42"/>
        <v>330000</v>
      </c>
      <c r="M60" s="18">
        <f t="shared" si="42"/>
        <v>330000</v>
      </c>
      <c r="N60" s="20">
        <f t="shared" si="4"/>
        <v>1</v>
      </c>
      <c r="O60" s="20">
        <f t="shared" si="5"/>
        <v>2.5866123216805141E-2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3">SUM(D62:D63)</f>
        <v>2078000</v>
      </c>
      <c r="E61" s="18">
        <f t="shared" si="43"/>
        <v>20000</v>
      </c>
      <c r="F61" s="19">
        <f t="shared" si="39"/>
        <v>12758000</v>
      </c>
      <c r="G61" s="18">
        <f t="shared" ref="G61:H61" si="44">SUM(G62:G63)</f>
        <v>0</v>
      </c>
      <c r="H61" s="18">
        <f t="shared" si="44"/>
        <v>12758000</v>
      </c>
      <c r="I61" s="19">
        <f t="shared" si="41"/>
        <v>0</v>
      </c>
      <c r="J61" s="18">
        <f t="shared" ref="J61:M61" si="45">SUM(J62:J63)</f>
        <v>12758000</v>
      </c>
      <c r="K61" s="18">
        <f t="shared" si="45"/>
        <v>330000</v>
      </c>
      <c r="L61" s="18">
        <f t="shared" si="45"/>
        <v>330000</v>
      </c>
      <c r="M61" s="18">
        <f t="shared" si="45"/>
        <v>330000</v>
      </c>
      <c r="N61" s="20">
        <f t="shared" si="4"/>
        <v>1</v>
      </c>
      <c r="O61" s="20">
        <f t="shared" si="5"/>
        <v>2.5866123216805141E-2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f t="shared" si="39"/>
        <v>12428000</v>
      </c>
      <c r="G62" s="13">
        <v>0</v>
      </c>
      <c r="H62" s="13">
        <v>12428000</v>
      </c>
      <c r="I62" s="14">
        <f t="shared" si="41"/>
        <v>0</v>
      </c>
      <c r="J62" s="13">
        <v>12428000</v>
      </c>
      <c r="K62" s="13">
        <v>0</v>
      </c>
      <c r="L62" s="13">
        <v>0</v>
      </c>
      <c r="M62" s="13">
        <v>0</v>
      </c>
      <c r="N62" s="15">
        <f t="shared" si="4"/>
        <v>1</v>
      </c>
      <c r="O62" s="15">
        <f t="shared" si="5"/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f t="shared" si="17"/>
        <v>330000</v>
      </c>
      <c r="G63" s="13">
        <v>0</v>
      </c>
      <c r="H63" s="13">
        <v>330000</v>
      </c>
      <c r="I63" s="14">
        <f t="shared" si="19"/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17" t="s">
        <v>142</v>
      </c>
      <c r="C64" s="18">
        <v>55000000</v>
      </c>
      <c r="D64" s="18">
        <v>0</v>
      </c>
      <c r="E64" s="18">
        <v>0</v>
      </c>
      <c r="F64" s="19">
        <f t="shared" si="17"/>
        <v>55000000</v>
      </c>
      <c r="G64" s="18">
        <v>0</v>
      </c>
      <c r="H64" s="18">
        <v>0</v>
      </c>
      <c r="I64" s="19">
        <f t="shared" si="19"/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6">+D66+D68+D72+D75+D80+D83</f>
        <v>0</v>
      </c>
      <c r="E65" s="8">
        <f t="shared" si="46"/>
        <v>0</v>
      </c>
      <c r="F65" s="8">
        <f t="shared" si="46"/>
        <v>7000000000</v>
      </c>
      <c r="G65" s="8">
        <f t="shared" si="46"/>
        <v>0</v>
      </c>
      <c r="H65" s="8">
        <f t="shared" si="46"/>
        <v>2444903882.8099999</v>
      </c>
      <c r="I65" s="8">
        <f t="shared" si="46"/>
        <v>4555096117.1900005</v>
      </c>
      <c r="J65" s="8">
        <f t="shared" si="46"/>
        <v>2189803882.8099999</v>
      </c>
      <c r="K65" s="8">
        <f t="shared" si="46"/>
        <v>201724147.99000001</v>
      </c>
      <c r="L65" s="8">
        <f t="shared" si="46"/>
        <v>201724147.99000001</v>
      </c>
      <c r="M65" s="8">
        <f t="shared" si="46"/>
        <v>201724147.99000001</v>
      </c>
      <c r="N65" s="9">
        <f t="shared" si="4"/>
        <v>0.31282912611571428</v>
      </c>
      <c r="O65" s="10">
        <f t="shared" si="5"/>
        <v>2.881773542714286E-2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7">+D67</f>
        <v>0</v>
      </c>
      <c r="E66" s="18">
        <f t="shared" si="47"/>
        <v>0</v>
      </c>
      <c r="F66" s="18">
        <f t="shared" si="47"/>
        <v>200000000</v>
      </c>
      <c r="G66" s="18">
        <f t="shared" si="47"/>
        <v>0</v>
      </c>
      <c r="H66" s="18">
        <f t="shared" si="47"/>
        <v>0</v>
      </c>
      <c r="I66" s="18">
        <f t="shared" si="47"/>
        <v>200000000</v>
      </c>
      <c r="J66" s="18">
        <f t="shared" si="47"/>
        <v>0</v>
      </c>
      <c r="K66" s="18">
        <f t="shared" si="47"/>
        <v>0</v>
      </c>
      <c r="L66" s="18">
        <f t="shared" si="47"/>
        <v>0</v>
      </c>
      <c r="M66" s="18">
        <f t="shared" si="47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f t="shared" ref="F67" si="48">+C67+D67-E67</f>
        <v>200000000</v>
      </c>
      <c r="G67" s="13">
        <v>0</v>
      </c>
      <c r="H67" s="13">
        <v>0</v>
      </c>
      <c r="I67" s="14">
        <f t="shared" ref="I67" si="49">+F67-G67-H67</f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50">SUM(D69:D71)</f>
        <v>0</v>
      </c>
      <c r="E68" s="18">
        <f t="shared" si="50"/>
        <v>0</v>
      </c>
      <c r="F68" s="18">
        <f t="shared" si="50"/>
        <v>1045900000</v>
      </c>
      <c r="G68" s="18">
        <f t="shared" si="50"/>
        <v>0</v>
      </c>
      <c r="H68" s="18">
        <f t="shared" si="50"/>
        <v>185900000</v>
      </c>
      <c r="I68" s="18">
        <f t="shared" si="50"/>
        <v>860000000</v>
      </c>
      <c r="J68" s="18">
        <f t="shared" si="50"/>
        <v>0</v>
      </c>
      <c r="K68" s="18">
        <f t="shared" si="50"/>
        <v>0</v>
      </c>
      <c r="L68" s="18">
        <f t="shared" si="50"/>
        <v>0</v>
      </c>
      <c r="M68" s="18">
        <f t="shared" si="50"/>
        <v>0</v>
      </c>
      <c r="N68" s="20">
        <f t="shared" si="4"/>
        <v>0</v>
      </c>
      <c r="O68" s="20">
        <f t="shared" si="5"/>
        <v>0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f t="shared" ref="F69:F74" si="51">+C69+D69-E69</f>
        <v>185900000</v>
      </c>
      <c r="G69" s="13">
        <v>0</v>
      </c>
      <c r="H69" s="13">
        <v>185900000</v>
      </c>
      <c r="I69" s="14">
        <f t="shared" ref="I69:I74" si="52">+F69-G69-H69</f>
        <v>0</v>
      </c>
      <c r="J69" s="13">
        <v>0</v>
      </c>
      <c r="K69" s="13">
        <v>0</v>
      </c>
      <c r="L69" s="13">
        <v>0</v>
      </c>
      <c r="M69" s="13">
        <v>0</v>
      </c>
      <c r="N69" s="15">
        <f t="shared" si="4"/>
        <v>0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f t="shared" si="51"/>
        <v>120000000</v>
      </c>
      <c r="G70" s="13">
        <v>0</v>
      </c>
      <c r="H70" s="13">
        <v>0</v>
      </c>
      <c r="I70" s="14">
        <f t="shared" si="52"/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f t="shared" si="51"/>
        <v>740000000</v>
      </c>
      <c r="G71" s="13">
        <v>0</v>
      </c>
      <c r="H71" s="13">
        <v>0</v>
      </c>
      <c r="I71" s="14">
        <f t="shared" si="52"/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53">SUM(D73:D74)</f>
        <v>0</v>
      </c>
      <c r="E72" s="18">
        <f t="shared" si="53"/>
        <v>0</v>
      </c>
      <c r="F72" s="18">
        <f t="shared" si="53"/>
        <v>2825211185</v>
      </c>
      <c r="G72" s="18">
        <f t="shared" si="53"/>
        <v>0</v>
      </c>
      <c r="H72" s="18">
        <f t="shared" si="53"/>
        <v>628984673.80999994</v>
      </c>
      <c r="I72" s="18">
        <f t="shared" si="53"/>
        <v>2196226511.1900001</v>
      </c>
      <c r="J72" s="18">
        <f t="shared" si="53"/>
        <v>578984673.80999994</v>
      </c>
      <c r="K72" s="18">
        <f t="shared" si="53"/>
        <v>35750880.32</v>
      </c>
      <c r="L72" s="18">
        <f t="shared" si="53"/>
        <v>35750880.32</v>
      </c>
      <c r="M72" s="18">
        <f t="shared" si="53"/>
        <v>35750880.32</v>
      </c>
      <c r="N72" s="20">
        <f t="shared" si="4"/>
        <v>0.20493500694179079</v>
      </c>
      <c r="O72" s="20">
        <f t="shared" si="5"/>
        <v>1.265423289763735E-2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f t="shared" si="51"/>
        <v>1900000000</v>
      </c>
      <c r="G73" s="13">
        <v>0</v>
      </c>
      <c r="H73" s="13">
        <v>628984673.80999994</v>
      </c>
      <c r="I73" s="14">
        <f t="shared" si="52"/>
        <v>1271015326.1900001</v>
      </c>
      <c r="J73" s="13">
        <v>578984673.80999994</v>
      </c>
      <c r="K73" s="13">
        <v>35750880.32</v>
      </c>
      <c r="L73" s="13">
        <v>35750880.32</v>
      </c>
      <c r="M73" s="13">
        <v>35750880.32</v>
      </c>
      <c r="N73" s="15">
        <f t="shared" si="4"/>
        <v>0.30472877568947365</v>
      </c>
      <c r="O73" s="15">
        <f t="shared" si="5"/>
        <v>1.8816252799999999E-2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f t="shared" si="51"/>
        <v>925211185</v>
      </c>
      <c r="G74" s="13">
        <v>0</v>
      </c>
      <c r="H74" s="13">
        <v>0</v>
      </c>
      <c r="I74" s="14">
        <f t="shared" si="52"/>
        <v>925211185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54">SUM(D76:D79)</f>
        <v>0</v>
      </c>
      <c r="E75" s="18">
        <f t="shared" si="54"/>
        <v>0</v>
      </c>
      <c r="F75" s="18">
        <f t="shared" si="54"/>
        <v>2400000000</v>
      </c>
      <c r="G75" s="18">
        <f t="shared" si="54"/>
        <v>0</v>
      </c>
      <c r="H75" s="18">
        <f t="shared" si="54"/>
        <v>1389713357</v>
      </c>
      <c r="I75" s="18">
        <f t="shared" si="54"/>
        <v>1010286643</v>
      </c>
      <c r="J75" s="18">
        <f t="shared" si="54"/>
        <v>1370513357</v>
      </c>
      <c r="K75" s="18">
        <f t="shared" si="54"/>
        <v>138721272.67000002</v>
      </c>
      <c r="L75" s="18">
        <f t="shared" si="54"/>
        <v>138721272.67000002</v>
      </c>
      <c r="M75" s="18">
        <f t="shared" si="54"/>
        <v>138721272.67000002</v>
      </c>
      <c r="N75" s="20">
        <f t="shared" si="4"/>
        <v>0.5710472320833333</v>
      </c>
      <c r="O75" s="20">
        <f t="shared" si="5"/>
        <v>5.7800530279166672E-2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f t="shared" ref="F76:F79" si="55">+C76+D76-E76</f>
        <v>947762000</v>
      </c>
      <c r="G76" s="13">
        <v>0</v>
      </c>
      <c r="H76" s="13">
        <v>550316667</v>
      </c>
      <c r="I76" s="14">
        <f t="shared" ref="I76:I79" si="56">+F76-G76-H76</f>
        <v>397445333</v>
      </c>
      <c r="J76" s="13">
        <v>550316667</v>
      </c>
      <c r="K76" s="13">
        <v>101132999.67</v>
      </c>
      <c r="L76" s="13">
        <v>101132999.67</v>
      </c>
      <c r="M76" s="13">
        <v>101132999.67</v>
      </c>
      <c r="N76" s="15">
        <f t="shared" si="4"/>
        <v>0.58064858793663388</v>
      </c>
      <c r="O76" s="15">
        <f t="shared" si="5"/>
        <v>0.10670716875122657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f t="shared" si="55"/>
        <v>400000000</v>
      </c>
      <c r="G77" s="13">
        <v>0</v>
      </c>
      <c r="H77" s="13">
        <v>284309478</v>
      </c>
      <c r="I77" s="14">
        <f t="shared" si="56"/>
        <v>115690522</v>
      </c>
      <c r="J77" s="13">
        <v>284309478</v>
      </c>
      <c r="K77" s="13">
        <v>20521606</v>
      </c>
      <c r="L77" s="13">
        <v>20521606</v>
      </c>
      <c r="M77" s="13">
        <v>20521606</v>
      </c>
      <c r="N77" s="15">
        <f t="shared" si="4"/>
        <v>0.71077369499999998</v>
      </c>
      <c r="O77" s="15">
        <f t="shared" si="5"/>
        <v>5.1304015000000001E-2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f t="shared" si="55"/>
        <v>201220000</v>
      </c>
      <c r="G78" s="13">
        <v>0</v>
      </c>
      <c r="H78" s="13">
        <v>67200000</v>
      </c>
      <c r="I78" s="14">
        <f t="shared" si="56"/>
        <v>134020000</v>
      </c>
      <c r="J78" s="13">
        <v>67200000</v>
      </c>
      <c r="K78" s="13">
        <v>5866667</v>
      </c>
      <c r="L78" s="13">
        <v>5866667</v>
      </c>
      <c r="M78" s="13">
        <v>5866667</v>
      </c>
      <c r="N78" s="15">
        <f t="shared" si="4"/>
        <v>0.33396282675678363</v>
      </c>
      <c r="O78" s="15">
        <f t="shared" si="5"/>
        <v>2.915548653215386E-2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f t="shared" si="55"/>
        <v>851018000</v>
      </c>
      <c r="G79" s="13">
        <v>0</v>
      </c>
      <c r="H79" s="13">
        <v>487887212</v>
      </c>
      <c r="I79" s="14">
        <f t="shared" si="56"/>
        <v>363130788</v>
      </c>
      <c r="J79" s="13">
        <v>468687212</v>
      </c>
      <c r="K79" s="13">
        <v>11200000</v>
      </c>
      <c r="L79" s="13">
        <v>11200000</v>
      </c>
      <c r="M79" s="13">
        <v>11200000</v>
      </c>
      <c r="N79" s="15">
        <f t="shared" si="4"/>
        <v>0.55073713129452018</v>
      </c>
      <c r="O79" s="15">
        <f t="shared" si="5"/>
        <v>1.3160708704163719E-2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7">SUM(D81:D82)</f>
        <v>0</v>
      </c>
      <c r="E80" s="18">
        <f t="shared" si="57"/>
        <v>0</v>
      </c>
      <c r="F80" s="18">
        <f t="shared" si="57"/>
        <v>200000000</v>
      </c>
      <c r="G80" s="18">
        <f t="shared" si="57"/>
        <v>0</v>
      </c>
      <c r="H80" s="18">
        <f t="shared" si="57"/>
        <v>80000000</v>
      </c>
      <c r="I80" s="18">
        <f t="shared" si="57"/>
        <v>120000000</v>
      </c>
      <c r="J80" s="18">
        <f t="shared" si="57"/>
        <v>80000000</v>
      </c>
      <c r="K80" s="18">
        <f t="shared" si="57"/>
        <v>0</v>
      </c>
      <c r="L80" s="18">
        <f t="shared" si="57"/>
        <v>0</v>
      </c>
      <c r="M80" s="18">
        <f t="shared" si="57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f>+C81+D81-E81</f>
        <v>120000000</v>
      </c>
      <c r="G81" s="13">
        <v>0</v>
      </c>
      <c r="H81" s="13">
        <v>0</v>
      </c>
      <c r="I81" s="14">
        <f>+F81-G81-H81</f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f>+C82+D82-E82</f>
        <v>80000000</v>
      </c>
      <c r="G82" s="13">
        <v>0</v>
      </c>
      <c r="H82" s="13">
        <v>80000000</v>
      </c>
      <c r="I82" s="14">
        <f>+F82-G82-H82</f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8">SUM(D84:D85)</f>
        <v>0</v>
      </c>
      <c r="E83" s="18">
        <f t="shared" si="58"/>
        <v>0</v>
      </c>
      <c r="F83" s="18">
        <f t="shared" si="58"/>
        <v>328888815</v>
      </c>
      <c r="G83" s="18">
        <f t="shared" si="58"/>
        <v>0</v>
      </c>
      <c r="H83" s="18">
        <f t="shared" si="58"/>
        <v>160305852</v>
      </c>
      <c r="I83" s="18">
        <f t="shared" si="58"/>
        <v>168582963</v>
      </c>
      <c r="J83" s="18">
        <f t="shared" si="58"/>
        <v>160305852</v>
      </c>
      <c r="K83" s="18">
        <f t="shared" si="58"/>
        <v>27251995</v>
      </c>
      <c r="L83" s="18">
        <f t="shared" si="58"/>
        <v>27251995</v>
      </c>
      <c r="M83" s="18">
        <f t="shared" si="58"/>
        <v>27251995</v>
      </c>
      <c r="N83" s="20">
        <f t="shared" si="4"/>
        <v>0.48741655139594819</v>
      </c>
      <c r="O83" s="20">
        <f t="shared" si="5"/>
        <v>8.2860814223797791E-2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f>+C84+D84-E84</f>
        <v>34688334</v>
      </c>
      <c r="G84" s="13">
        <v>0</v>
      </c>
      <c r="H84" s="13">
        <v>0</v>
      </c>
      <c r="I84" s="14">
        <f>+F84-G84-H84</f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f>+C85+D85-E85</f>
        <v>294200481</v>
      </c>
      <c r="G85" s="13">
        <v>0</v>
      </c>
      <c r="H85" s="13">
        <v>160305852</v>
      </c>
      <c r="I85" s="14">
        <f>+F85-G85-H85</f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</row>
    <row r="86" spans="1:15" x14ac:dyDescent="0.25">
      <c r="A86" s="68" t="s">
        <v>143</v>
      </c>
      <c r="B86" s="68" t="s">
        <v>0</v>
      </c>
      <c r="C86" s="7">
        <f t="shared" ref="C86:M86" si="59">+C5+C65</f>
        <v>36191962728</v>
      </c>
      <c r="D86" s="8">
        <f t="shared" si="59"/>
        <v>1523582000</v>
      </c>
      <c r="E86" s="8">
        <f t="shared" si="59"/>
        <v>1523582000</v>
      </c>
      <c r="F86" s="8">
        <f t="shared" si="59"/>
        <v>36191962728</v>
      </c>
      <c r="G86" s="8">
        <f t="shared" si="59"/>
        <v>2435000000</v>
      </c>
      <c r="H86" s="8">
        <f t="shared" si="59"/>
        <v>25849139476.820004</v>
      </c>
      <c r="I86" s="8">
        <f t="shared" si="59"/>
        <v>7907823251.1800003</v>
      </c>
      <c r="J86" s="8">
        <f t="shared" si="59"/>
        <v>15415204436.929998</v>
      </c>
      <c r="K86" s="8">
        <f t="shared" si="59"/>
        <v>10533679207.129999</v>
      </c>
      <c r="L86" s="8">
        <f t="shared" si="59"/>
        <v>10533679207.129999</v>
      </c>
      <c r="M86" s="8">
        <f t="shared" si="59"/>
        <v>10447998155.129999</v>
      </c>
      <c r="N86" s="9">
        <f t="shared" si="4"/>
        <v>0.4259289431961088</v>
      </c>
      <c r="O86" s="10">
        <f t="shared" si="5"/>
        <v>0.29105023361942711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  <ignoredErrors>
    <ignoredError sqref="F7:F9 I7:I9 F20 F39:F40 I39:I40 F43:F44 F48 I43 F60 I60 F68 I68 F72 I72 F75 I75 F80 I80 F83 I83" formula="1"/>
    <ignoredError sqref="C30:E30 G30:M30 C61:E61 G61:H61 J61:M61" formulaRange="1"/>
    <ignoredError sqref="F30 F61 I6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showGridLines="0"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2.85546875" style="21" bestFit="1" customWidth="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1619001340</v>
      </c>
      <c r="E5" s="7">
        <f t="shared" si="0"/>
        <v>1619001340</v>
      </c>
      <c r="F5" s="7">
        <f t="shared" si="0"/>
        <v>29191962728</v>
      </c>
      <c r="G5" s="7">
        <f t="shared" si="0"/>
        <v>2435000000</v>
      </c>
      <c r="H5" s="7">
        <f t="shared" si="0"/>
        <v>24138010401.009998</v>
      </c>
      <c r="I5" s="7">
        <f t="shared" si="0"/>
        <v>2618952326.9900007</v>
      </c>
      <c r="J5" s="7">
        <f t="shared" si="0"/>
        <v>15462164657.559999</v>
      </c>
      <c r="K5" s="7">
        <f t="shared" si="0"/>
        <v>11779888549.779999</v>
      </c>
      <c r="L5" s="7">
        <f t="shared" si="0"/>
        <v>11758785688.779999</v>
      </c>
      <c r="M5" s="7">
        <f t="shared" si="0"/>
        <v>11757599915.34</v>
      </c>
      <c r="N5" s="9">
        <f>+J5/F5</f>
        <v>0.52967197860694659</v>
      </c>
      <c r="O5" s="10">
        <f>+K5/F5</f>
        <v>0.40353191251786252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6669536836</v>
      </c>
      <c r="K6" s="7">
        <f t="shared" si="1"/>
        <v>6333683119</v>
      </c>
      <c r="L6" s="7">
        <f t="shared" si="1"/>
        <v>6333683119</v>
      </c>
      <c r="M6" s="7">
        <f>+M7+M36+M37</f>
        <v>6333683119</v>
      </c>
      <c r="N6" s="9">
        <f>+J6/F6</f>
        <v>0.4281055217957751</v>
      </c>
      <c r="O6" s="10">
        <f>+K6/F6</f>
        <v>0.40654767838043432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6669536836</v>
      </c>
      <c r="K7" s="18">
        <f>+K8+K20+K30</f>
        <v>6333683119</v>
      </c>
      <c r="L7" s="18">
        <f>+L8+L20+L30</f>
        <v>6333683119</v>
      </c>
      <c r="M7" s="18">
        <f>+M8+M20+M30</f>
        <v>6333683119</v>
      </c>
      <c r="N7" s="20">
        <f>+J7/F7</f>
        <v>0.44015544677395457</v>
      </c>
      <c r="O7" s="20">
        <f>+K7/F7</f>
        <v>0.41799081278334499</v>
      </c>
      <c r="P7" s="39">
        <f>+C7-Mayo!C7</f>
        <v>0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4561164077</v>
      </c>
      <c r="K8" s="18">
        <f>+K9</f>
        <v>4227187962</v>
      </c>
      <c r="L8" s="18">
        <f>+L9</f>
        <v>4227187962</v>
      </c>
      <c r="M8" s="18">
        <f>+M9</f>
        <v>4227187962</v>
      </c>
      <c r="N8" s="20">
        <f t="shared" ref="N8:N86" si="4">+J8/F8</f>
        <v>0.4350901954077076</v>
      </c>
      <c r="O8" s="20">
        <f t="shared" ref="O8:O86" si="5">+K8/F8</f>
        <v>0.40323215858118955</v>
      </c>
      <c r="P8" s="39">
        <f>+C8-Mayo!C8</f>
        <v>0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4561164077</v>
      </c>
      <c r="K9" s="18">
        <f>SUM(K10:K19)</f>
        <v>4227187962</v>
      </c>
      <c r="L9" s="18">
        <f>SUM(L10:L19)</f>
        <v>4227187962</v>
      </c>
      <c r="M9" s="18">
        <f>SUM(M10:M19)</f>
        <v>4227187962</v>
      </c>
      <c r="N9" s="20">
        <f t="shared" si="4"/>
        <v>0.4350901954077076</v>
      </c>
      <c r="O9" s="20">
        <f t="shared" si="5"/>
        <v>0.40323215858118955</v>
      </c>
      <c r="P9" s="39">
        <f>+C9-Mayo!C9</f>
        <v>0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3680905705</v>
      </c>
      <c r="K10" s="13">
        <v>3680905705</v>
      </c>
      <c r="L10" s="13">
        <v>3680905705</v>
      </c>
      <c r="M10" s="13">
        <v>3680905705</v>
      </c>
      <c r="N10" s="15">
        <f t="shared" si="4"/>
        <v>0.48034786702335902</v>
      </c>
      <c r="O10" s="15">
        <f t="shared" si="5"/>
        <v>0.48034786702335902</v>
      </c>
      <c r="P10" s="39">
        <f>+C10-Mayo!C10</f>
        <v>0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34103128</v>
      </c>
      <c r="K11" s="13">
        <v>34103128</v>
      </c>
      <c r="L11" s="13">
        <v>34103128</v>
      </c>
      <c r="M11" s="13">
        <v>34103128</v>
      </c>
      <c r="N11" s="15">
        <f t="shared" si="4"/>
        <v>0.46716613698630138</v>
      </c>
      <c r="O11" s="15">
        <f t="shared" si="5"/>
        <v>0.46716613698630138</v>
      </c>
      <c r="P11" s="39">
        <f>+C11-Mayo!C11</f>
        <v>0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209136650</v>
      </c>
      <c r="K12" s="13">
        <v>209136650</v>
      </c>
      <c r="L12" s="13">
        <v>209136650</v>
      </c>
      <c r="M12" s="13">
        <v>209136650</v>
      </c>
      <c r="N12" s="15">
        <f t="shared" si="4"/>
        <v>0.32677601562500003</v>
      </c>
      <c r="O12" s="15">
        <f t="shared" si="5"/>
        <v>0.32677601562500003</v>
      </c>
      <c r="P12" s="39">
        <f>+C12-Mayo!C12</f>
        <v>0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6207916</v>
      </c>
      <c r="K13" s="13">
        <v>6207916</v>
      </c>
      <c r="L13" s="13">
        <v>6207916</v>
      </c>
      <c r="M13" s="13">
        <v>6207916</v>
      </c>
      <c r="N13" s="15">
        <f t="shared" si="4"/>
        <v>0.44342257142857144</v>
      </c>
      <c r="O13" s="15">
        <f t="shared" si="5"/>
        <v>0.44342257142857144</v>
      </c>
      <c r="P13" s="39">
        <f>+C13-Mayo!C13</f>
        <v>0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  <c r="P14" s="39">
        <f>+C14-Mayo!C14</f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343324901</v>
      </c>
      <c r="K15" s="13">
        <v>9348786</v>
      </c>
      <c r="L15" s="13">
        <v>9348786</v>
      </c>
      <c r="M15" s="13">
        <v>9348786</v>
      </c>
      <c r="N15" s="15">
        <f t="shared" si="4"/>
        <v>0.8498141113861386</v>
      </c>
      <c r="O15" s="15">
        <f t="shared" si="5"/>
        <v>2.3140559405940595E-2</v>
      </c>
      <c r="P15" s="39">
        <f>+C15-Mayo!C15</f>
        <v>0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121144135</v>
      </c>
      <c r="K16" s="13">
        <v>121144135</v>
      </c>
      <c r="L16" s="13">
        <v>121144135</v>
      </c>
      <c r="M16" s="13">
        <v>121144135</v>
      </c>
      <c r="N16" s="15">
        <f t="shared" si="4"/>
        <v>0.42210500000000001</v>
      </c>
      <c r="O16" s="15">
        <f t="shared" si="5"/>
        <v>0.42210500000000001</v>
      </c>
      <c r="P16" s="39">
        <f>+C16-Mayo!C16</f>
        <v>0</v>
      </c>
    </row>
    <row r="17" spans="1:16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22990424</v>
      </c>
      <c r="K17" s="13">
        <v>22990424</v>
      </c>
      <c r="L17" s="13">
        <v>22990424</v>
      </c>
      <c r="M17" s="13">
        <v>22990424</v>
      </c>
      <c r="N17" s="15">
        <f t="shared" si="4"/>
        <v>0.38317373333333332</v>
      </c>
      <c r="O17" s="15">
        <f t="shared" si="5"/>
        <v>0.38317373333333332</v>
      </c>
      <c r="P17" s="39">
        <f>+C17-Mayo!C17</f>
        <v>0</v>
      </c>
    </row>
    <row r="18" spans="1:16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4675273</v>
      </c>
      <c r="K18" s="13">
        <v>4675273</v>
      </c>
      <c r="L18" s="13">
        <v>4675273</v>
      </c>
      <c r="M18" s="13">
        <v>4675273</v>
      </c>
      <c r="N18" s="15">
        <f t="shared" si="4"/>
        <v>5.500321176470588E-3</v>
      </c>
      <c r="O18" s="15">
        <f t="shared" si="5"/>
        <v>5.500321176470588E-3</v>
      </c>
      <c r="P18" s="39">
        <f>+C18-Mayo!C18</f>
        <v>0</v>
      </c>
    </row>
    <row r="19" spans="1:16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138675945</v>
      </c>
      <c r="K19" s="13">
        <v>138675945</v>
      </c>
      <c r="L19" s="13">
        <v>138675945</v>
      </c>
      <c r="M19" s="13">
        <v>138675945</v>
      </c>
      <c r="N19" s="15">
        <f t="shared" si="4"/>
        <v>0.28460300537083821</v>
      </c>
      <c r="O19" s="15">
        <f t="shared" si="5"/>
        <v>0.28460300537083821</v>
      </c>
      <c r="P19" s="39">
        <f>+C19-Mayo!C19</f>
        <v>0</v>
      </c>
    </row>
    <row r="20" spans="1:16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1667207603</v>
      </c>
      <c r="K20" s="18">
        <f t="shared" ref="K20:M20" si="9">SUM(K21:K29)</f>
        <v>1667207603</v>
      </c>
      <c r="L20" s="18">
        <f t="shared" si="9"/>
        <v>1667207603</v>
      </c>
      <c r="M20" s="18">
        <f t="shared" si="9"/>
        <v>1667207603</v>
      </c>
      <c r="N20" s="20">
        <f t="shared" si="4"/>
        <v>0.41988109878796154</v>
      </c>
      <c r="O20" s="20">
        <f t="shared" si="5"/>
        <v>0.41988109878796154</v>
      </c>
      <c r="P20" s="39">
        <f>+C20-Mayo!C20</f>
        <v>0</v>
      </c>
    </row>
    <row r="21" spans="1:16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520546891</v>
      </c>
      <c r="K21" s="13">
        <v>520546891</v>
      </c>
      <c r="L21" s="13">
        <v>520546891</v>
      </c>
      <c r="M21" s="13">
        <v>520546891</v>
      </c>
      <c r="N21" s="15">
        <f t="shared" si="4"/>
        <v>0.43354845644000911</v>
      </c>
      <c r="O21" s="15">
        <f t="shared" si="5"/>
        <v>0.43354845644000911</v>
      </c>
      <c r="P21" s="39">
        <f>+C21-Mayo!C21</f>
        <v>0</v>
      </c>
    </row>
    <row r="22" spans="1:16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368724291</v>
      </c>
      <c r="K22" s="13">
        <v>368724291</v>
      </c>
      <c r="L22" s="13">
        <v>368724291</v>
      </c>
      <c r="M22" s="13">
        <v>368724291</v>
      </c>
      <c r="N22" s="15">
        <f t="shared" si="4"/>
        <v>0.47272344999999999</v>
      </c>
      <c r="O22" s="15">
        <f t="shared" si="5"/>
        <v>0.47272344999999999</v>
      </c>
      <c r="P22" s="39">
        <f>+C22-Mayo!C22</f>
        <v>0</v>
      </c>
    </row>
    <row r="23" spans="1:16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364097021</v>
      </c>
      <c r="K23" s="13">
        <v>364097021</v>
      </c>
      <c r="L23" s="13">
        <v>364097021</v>
      </c>
      <c r="M23" s="13">
        <v>364097021</v>
      </c>
      <c r="N23" s="15">
        <f t="shared" si="4"/>
        <v>0.39575763152173915</v>
      </c>
      <c r="O23" s="15">
        <f t="shared" si="5"/>
        <v>0.39575763152173915</v>
      </c>
      <c r="P23" s="39">
        <f>+C23-Mayo!C23</f>
        <v>0</v>
      </c>
    </row>
    <row r="24" spans="1:16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173105700</v>
      </c>
      <c r="K24" s="13">
        <v>173105700</v>
      </c>
      <c r="L24" s="13">
        <v>173105700</v>
      </c>
      <c r="M24" s="13">
        <v>173105700</v>
      </c>
      <c r="N24" s="15">
        <f t="shared" si="4"/>
        <v>0.41215642857142859</v>
      </c>
      <c r="O24" s="15">
        <f t="shared" si="5"/>
        <v>0.41215642857142859</v>
      </c>
      <c r="P24" s="39">
        <f>+C24-Mayo!C24</f>
        <v>0</v>
      </c>
    </row>
    <row r="25" spans="1:16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24233000</v>
      </c>
      <c r="K25" s="13">
        <v>24233000</v>
      </c>
      <c r="L25" s="13">
        <v>24233000</v>
      </c>
      <c r="M25" s="13">
        <v>24233000</v>
      </c>
      <c r="N25" s="15">
        <f t="shared" si="4"/>
        <v>0.34618571428571426</v>
      </c>
      <c r="O25" s="15">
        <f t="shared" si="5"/>
        <v>0.34618571428571426</v>
      </c>
      <c r="P25" s="39">
        <f>+C25-Mayo!C25</f>
        <v>0</v>
      </c>
    </row>
    <row r="26" spans="1:16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129829500</v>
      </c>
      <c r="K26" s="13">
        <v>129829500</v>
      </c>
      <c r="L26" s="13">
        <v>129829500</v>
      </c>
      <c r="M26" s="13">
        <v>129829500</v>
      </c>
      <c r="N26" s="15">
        <f t="shared" si="4"/>
        <v>0.40571718750000002</v>
      </c>
      <c r="O26" s="15">
        <f t="shared" si="5"/>
        <v>0.40571718750000002</v>
      </c>
      <c r="P26" s="39">
        <f>+C26-Mayo!C26</f>
        <v>0</v>
      </c>
    </row>
    <row r="27" spans="1:16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21679000</v>
      </c>
      <c r="K27" s="13">
        <v>21679000</v>
      </c>
      <c r="L27" s="13">
        <v>21679000</v>
      </c>
      <c r="M27" s="13">
        <v>21679000</v>
      </c>
      <c r="N27" s="15">
        <f t="shared" si="4"/>
        <v>0.30969999999999998</v>
      </c>
      <c r="O27" s="15">
        <f t="shared" si="5"/>
        <v>0.30969999999999998</v>
      </c>
      <c r="P27" s="39">
        <f>+C27-Mayo!C27</f>
        <v>0</v>
      </c>
    </row>
    <row r="28" spans="1:16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21679000</v>
      </c>
      <c r="K28" s="13">
        <v>21679000</v>
      </c>
      <c r="L28" s="13">
        <v>21679000</v>
      </c>
      <c r="M28" s="13">
        <v>21679000</v>
      </c>
      <c r="N28" s="15">
        <f t="shared" si="4"/>
        <v>0.30969999999999998</v>
      </c>
      <c r="O28" s="15">
        <f t="shared" si="5"/>
        <v>0.30969999999999998</v>
      </c>
      <c r="P28" s="39">
        <f>+C28-Mayo!C28</f>
        <v>0</v>
      </c>
    </row>
    <row r="29" spans="1:16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43313200</v>
      </c>
      <c r="K29" s="13">
        <v>43313200</v>
      </c>
      <c r="L29" s="13">
        <v>43313200</v>
      </c>
      <c r="M29" s="13">
        <v>43313200</v>
      </c>
      <c r="N29" s="15">
        <f t="shared" si="4"/>
        <v>0.36094333333333334</v>
      </c>
      <c r="O29" s="15">
        <f t="shared" si="5"/>
        <v>0.36094333333333334</v>
      </c>
      <c r="P29" s="39">
        <f>+C29-Mayo!C29</f>
        <v>0</v>
      </c>
    </row>
    <row r="30" spans="1:16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441165156</v>
      </c>
      <c r="K30" s="18">
        <f t="shared" ref="K30:M30" si="13">SUM(K31:K35)</f>
        <v>439287554</v>
      </c>
      <c r="L30" s="18">
        <f t="shared" si="13"/>
        <v>439287554</v>
      </c>
      <c r="M30" s="18">
        <f t="shared" si="13"/>
        <v>439287554</v>
      </c>
      <c r="N30" s="20">
        <f t="shared" si="4"/>
        <v>0.63135614332859158</v>
      </c>
      <c r="O30" s="20">
        <f t="shared" si="5"/>
        <v>0.62866908715177505</v>
      </c>
      <c r="P30" s="39">
        <f>+C30-Mayo!C30</f>
        <v>0</v>
      </c>
    </row>
    <row r="31" spans="1:16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176114646</v>
      </c>
      <c r="K31" s="13">
        <v>176114646</v>
      </c>
      <c r="L31" s="13">
        <v>176114646</v>
      </c>
      <c r="M31" s="13">
        <v>176114646</v>
      </c>
      <c r="N31" s="15">
        <f t="shared" si="4"/>
        <v>0.59849442743017467</v>
      </c>
      <c r="O31" s="15">
        <f t="shared" si="5"/>
        <v>0.59849442743017467</v>
      </c>
      <c r="P31" s="39">
        <f>+C31-Mayo!C31</f>
        <v>0</v>
      </c>
    </row>
    <row r="32" spans="1:16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71647409</v>
      </c>
      <c r="K32" s="13">
        <v>69769807</v>
      </c>
      <c r="L32" s="13">
        <v>69769807</v>
      </c>
      <c r="M32" s="13">
        <v>69769807</v>
      </c>
      <c r="N32" s="15">
        <f t="shared" si="4"/>
        <v>0.82353343678160917</v>
      </c>
      <c r="O32" s="15">
        <f t="shared" si="5"/>
        <v>0.8019518045977011</v>
      </c>
      <c r="P32" s="39">
        <f>+C32-Mayo!C32</f>
        <v>0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15829256</v>
      </c>
      <c r="K33" s="13">
        <v>15829256</v>
      </c>
      <c r="L33" s="13">
        <v>15829256</v>
      </c>
      <c r="M33" s="13">
        <v>15829256</v>
      </c>
      <c r="N33" s="15">
        <f t="shared" si="4"/>
        <v>0.33290547816138366</v>
      </c>
      <c r="O33" s="15">
        <f t="shared" si="5"/>
        <v>0.33290547816138366</v>
      </c>
      <c r="P33" s="39">
        <f>+C33-Mayo!C33</f>
        <v>0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141659291</v>
      </c>
      <c r="K34" s="13">
        <v>141659291</v>
      </c>
      <c r="L34" s="13">
        <v>141659291</v>
      </c>
      <c r="M34" s="13">
        <v>141659291</v>
      </c>
      <c r="N34" s="15">
        <f t="shared" si="4"/>
        <v>0.70146975137957401</v>
      </c>
      <c r="O34" s="15">
        <f t="shared" si="5"/>
        <v>0.70146975137957401</v>
      </c>
      <c r="P34" s="39">
        <f>+C34-Mayo!C34</f>
        <v>0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35914554</v>
      </c>
      <c r="K35" s="13">
        <v>35914554</v>
      </c>
      <c r="L35" s="13">
        <v>35914554</v>
      </c>
      <c r="M35" s="13">
        <v>35914554</v>
      </c>
      <c r="N35" s="15">
        <f t="shared" si="4"/>
        <v>0.52815520588235298</v>
      </c>
      <c r="O35" s="15">
        <f t="shared" si="5"/>
        <v>0.52815520588235298</v>
      </c>
      <c r="P35" s="39">
        <f>+C35-Mayo!C35</f>
        <v>0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  <c r="P36" s="39">
        <f>+C36-Mayo!C36</f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  <c r="P37" s="39">
        <f>+C37-Mayo!C37</f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1000000000</v>
      </c>
      <c r="E38" s="8">
        <f t="shared" si="14"/>
        <v>1002058000</v>
      </c>
      <c r="F38" s="8">
        <f t="shared" si="14"/>
        <v>9895695728</v>
      </c>
      <c r="G38" s="8">
        <f t="shared" si="14"/>
        <v>0</v>
      </c>
      <c r="H38" s="8">
        <f t="shared" si="14"/>
        <v>8872707401.0099983</v>
      </c>
      <c r="I38" s="8">
        <f t="shared" si="14"/>
        <v>1022988326.990001</v>
      </c>
      <c r="J38" s="8">
        <f t="shared" si="14"/>
        <v>8740950660.5599995</v>
      </c>
      <c r="K38" s="8">
        <f t="shared" si="14"/>
        <v>5394528269.7799997</v>
      </c>
      <c r="L38" s="8">
        <f t="shared" si="14"/>
        <v>5373425408.7799997</v>
      </c>
      <c r="M38" s="8">
        <f t="shared" si="14"/>
        <v>5372239635.3400002</v>
      </c>
      <c r="N38" s="9">
        <f t="shared" si="4"/>
        <v>0.88330834949051285</v>
      </c>
      <c r="O38" s="10">
        <f t="shared" si="5"/>
        <v>0.54513885815184393</v>
      </c>
      <c r="P38" s="39">
        <f>+C38-Mayo!C38</f>
        <v>0</v>
      </c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7216953.7999999998</v>
      </c>
      <c r="I39" s="19">
        <f t="shared" ref="I39:I48" si="18">+F39-G39-H39</f>
        <v>125725046.2</v>
      </c>
      <c r="J39" s="18">
        <f t="shared" ref="J39:M39" si="19">+J40</f>
        <v>3192436.8</v>
      </c>
      <c r="K39" s="18">
        <f t="shared" si="19"/>
        <v>3192436</v>
      </c>
      <c r="L39" s="18">
        <f t="shared" si="19"/>
        <v>3192436</v>
      </c>
      <c r="M39" s="18">
        <f t="shared" si="19"/>
        <v>3192436</v>
      </c>
      <c r="N39" s="20">
        <f t="shared" si="4"/>
        <v>2.4013756374960508E-2</v>
      </c>
      <c r="O39" s="20">
        <f t="shared" si="5"/>
        <v>2.401375035729867E-2</v>
      </c>
      <c r="P39" s="39">
        <f>+C39-Mayo!C39</f>
        <v>0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7216953.7999999998</v>
      </c>
      <c r="I40" s="19">
        <f t="shared" si="18"/>
        <v>125725046.2</v>
      </c>
      <c r="J40" s="18">
        <f t="shared" ref="J40:M40" si="22">SUM(J41:J42)</f>
        <v>3192436.8</v>
      </c>
      <c r="K40" s="18">
        <f t="shared" si="22"/>
        <v>3192436</v>
      </c>
      <c r="L40" s="18">
        <f t="shared" si="22"/>
        <v>3192436</v>
      </c>
      <c r="M40" s="18">
        <f t="shared" si="22"/>
        <v>3192436</v>
      </c>
      <c r="N40" s="20">
        <f t="shared" si="4"/>
        <v>2.4013756374960508E-2</v>
      </c>
      <c r="O40" s="20">
        <f t="shared" si="5"/>
        <v>2.401375035729867E-2</v>
      </c>
      <c r="P40" s="39">
        <f>+C40-Mayo!C40</f>
        <v>0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4024517</v>
      </c>
      <c r="I41" s="14">
        <v>35975483</v>
      </c>
      <c r="J41" s="13">
        <v>0</v>
      </c>
      <c r="K41" s="13">
        <v>0</v>
      </c>
      <c r="L41" s="13">
        <v>0</v>
      </c>
      <c r="M41" s="13">
        <v>0</v>
      </c>
      <c r="N41" s="15">
        <f t="shared" si="4"/>
        <v>0</v>
      </c>
      <c r="O41" s="15">
        <f t="shared" si="5"/>
        <v>0</v>
      </c>
      <c r="P41" s="39">
        <f>+C41-Mayo!C41</f>
        <v>0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  <c r="P42" s="39">
        <f>+C42-Mayo!C42</f>
        <v>0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1000000000</v>
      </c>
      <c r="E43" s="18">
        <f t="shared" si="23"/>
        <v>1000000000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8865490447.2099991</v>
      </c>
      <c r="I43" s="19">
        <f t="shared" si="18"/>
        <v>897263280.79000092</v>
      </c>
      <c r="J43" s="18">
        <f t="shared" ref="J43:M43" si="25">+J44+J48</f>
        <v>8737758223.7600002</v>
      </c>
      <c r="K43" s="18">
        <f t="shared" si="25"/>
        <v>5391335833.7799997</v>
      </c>
      <c r="L43" s="18">
        <f t="shared" si="25"/>
        <v>5370232972.7799997</v>
      </c>
      <c r="M43" s="18">
        <f t="shared" si="25"/>
        <v>5369047199.3400002</v>
      </c>
      <c r="N43" s="20">
        <f t="shared" si="4"/>
        <v>0.89500959126928825</v>
      </c>
      <c r="O43" s="20">
        <f t="shared" si="5"/>
        <v>0.55223515659494871</v>
      </c>
      <c r="P43" s="39">
        <f>+C43-Mayo!C43</f>
        <v>0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0</v>
      </c>
      <c r="E44" s="18">
        <f t="shared" si="26"/>
        <v>0</v>
      </c>
      <c r="F44" s="19">
        <f>+C44+D44-E44</f>
        <v>92000000</v>
      </c>
      <c r="G44" s="18">
        <f t="shared" si="26"/>
        <v>0</v>
      </c>
      <c r="H44" s="18">
        <f t="shared" si="26"/>
        <v>69797307</v>
      </c>
      <c r="I44" s="19">
        <f t="shared" si="18"/>
        <v>22202693</v>
      </c>
      <c r="J44" s="18">
        <f t="shared" ref="J44" si="27">SUM(J45:J47)</f>
        <v>69315017</v>
      </c>
      <c r="K44" s="18">
        <f t="shared" ref="K44:M44" si="28">SUM(K45:K47)</f>
        <v>39259887</v>
      </c>
      <c r="L44" s="18">
        <f t="shared" si="28"/>
        <v>39259887</v>
      </c>
      <c r="M44" s="18">
        <f t="shared" si="28"/>
        <v>39259887</v>
      </c>
      <c r="N44" s="20">
        <f t="shared" si="4"/>
        <v>0.75342409782608699</v>
      </c>
      <c r="O44" s="20">
        <f t="shared" si="5"/>
        <v>0.42673790217391305</v>
      </c>
      <c r="P44" s="39">
        <f>+C44-Mayo!C44</f>
        <v>0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0</v>
      </c>
      <c r="E45" s="13">
        <v>0</v>
      </c>
      <c r="F45" s="14">
        <v>15000000</v>
      </c>
      <c r="G45" s="13">
        <v>0</v>
      </c>
      <c r="H45" s="13">
        <v>443890</v>
      </c>
      <c r="I45" s="14">
        <v>14556110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2.9592666666666666E-2</v>
      </c>
      <c r="O45" s="15">
        <f t="shared" si="5"/>
        <v>2.9592666666666666E-2</v>
      </c>
      <c r="P45" s="39">
        <f>+C45-Mayo!C45</f>
        <v>0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0</v>
      </c>
      <c r="E46" s="13">
        <v>0</v>
      </c>
      <c r="F46" s="14">
        <v>45000000</v>
      </c>
      <c r="G46" s="13">
        <v>0</v>
      </c>
      <c r="H46" s="13">
        <v>42084567</v>
      </c>
      <c r="I46" s="14">
        <v>2915433</v>
      </c>
      <c r="J46" s="13">
        <v>41602277</v>
      </c>
      <c r="K46" s="13">
        <v>11547147</v>
      </c>
      <c r="L46" s="13">
        <v>11547147</v>
      </c>
      <c r="M46" s="13">
        <v>11547147</v>
      </c>
      <c r="N46" s="15">
        <f t="shared" si="4"/>
        <v>0.92449504444444441</v>
      </c>
      <c r="O46" s="15">
        <f t="shared" si="5"/>
        <v>0.25660326666666666</v>
      </c>
      <c r="P46" s="39">
        <f>+C46-Mayo!C46</f>
        <v>0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  <c r="P47" s="39">
        <f>+C47-Mayo!C47</f>
        <v>0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1000000000</v>
      </c>
      <c r="F48" s="19">
        <f t="shared" si="16"/>
        <v>9670753728</v>
      </c>
      <c r="G48" s="18">
        <f t="shared" ref="G48:H48" si="30">SUM(G49:G53)</f>
        <v>0</v>
      </c>
      <c r="H48" s="18">
        <f t="shared" si="30"/>
        <v>8795693140.2099991</v>
      </c>
      <c r="I48" s="19">
        <f t="shared" si="18"/>
        <v>875060587.79000092</v>
      </c>
      <c r="J48" s="18">
        <f t="shared" ref="J48:M48" si="31">SUM(J49:J53)</f>
        <v>8668443206.7600002</v>
      </c>
      <c r="K48" s="18">
        <f t="shared" si="31"/>
        <v>5352075946.7799997</v>
      </c>
      <c r="L48" s="18">
        <f t="shared" si="31"/>
        <v>5330973085.7799997</v>
      </c>
      <c r="M48" s="18">
        <f t="shared" si="31"/>
        <v>5329787312.3400002</v>
      </c>
      <c r="N48" s="20">
        <f t="shared" si="4"/>
        <v>0.89635652510331409</v>
      </c>
      <c r="O48" s="20">
        <f t="shared" si="5"/>
        <v>0.55342903948468736</v>
      </c>
      <c r="P48" s="39">
        <f>+C48-Mayo!C48</f>
        <v>0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1143295889</v>
      </c>
      <c r="I49" s="14">
        <v>49704111</v>
      </c>
      <c r="J49" s="27">
        <v>1102301829</v>
      </c>
      <c r="K49" s="27">
        <v>406512661</v>
      </c>
      <c r="L49" s="27">
        <v>406512661</v>
      </c>
      <c r="M49" s="27">
        <v>406512661</v>
      </c>
      <c r="N49" s="15">
        <f t="shared" si="4"/>
        <v>0.92397470997485331</v>
      </c>
      <c r="O49" s="15">
        <f t="shared" si="5"/>
        <v>0.34074824895222128</v>
      </c>
      <c r="P49" s="39">
        <f>+C49-Mayo!C49</f>
        <v>0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5012496590</v>
      </c>
      <c r="I50" s="14">
        <v>13453922</v>
      </c>
      <c r="J50" s="27">
        <v>5012496590</v>
      </c>
      <c r="K50" s="27">
        <v>4017673201</v>
      </c>
      <c r="L50" s="27">
        <v>4017673201</v>
      </c>
      <c r="M50" s="27">
        <v>4017673201</v>
      </c>
      <c r="N50" s="15">
        <f t="shared" si="4"/>
        <v>0.99732310893872167</v>
      </c>
      <c r="O50" s="15">
        <f t="shared" si="5"/>
        <v>0.79938574631950132</v>
      </c>
      <c r="P50" s="39">
        <f>+C50-Mayo!C50</f>
        <v>0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0</v>
      </c>
      <c r="F51" s="14">
        <v>2287556980</v>
      </c>
      <c r="G51" s="13">
        <v>0</v>
      </c>
      <c r="H51" s="13">
        <v>1761100777.21</v>
      </c>
      <c r="I51" s="14">
        <v>526456202.79000002</v>
      </c>
      <c r="J51" s="27">
        <v>1725985431.76</v>
      </c>
      <c r="K51" s="27">
        <v>659927014.77999997</v>
      </c>
      <c r="L51" s="27">
        <v>659927014.77999997</v>
      </c>
      <c r="M51" s="27">
        <v>658741241.34000003</v>
      </c>
      <c r="N51" s="15">
        <f t="shared" si="4"/>
        <v>0.75451035617919338</v>
      </c>
      <c r="O51" s="15">
        <f t="shared" si="5"/>
        <v>0.28848549808800827</v>
      </c>
      <c r="P51" s="39">
        <f>+C51-Mayo!C51</f>
        <v>0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660260736</v>
      </c>
      <c r="I52" s="14">
        <v>203985500</v>
      </c>
      <c r="J52" s="27">
        <v>639806606</v>
      </c>
      <c r="K52" s="27">
        <v>80110320</v>
      </c>
      <c r="L52" s="27">
        <v>60105651</v>
      </c>
      <c r="M52" s="27">
        <v>60105651</v>
      </c>
      <c r="N52" s="15">
        <f t="shared" si="4"/>
        <v>0.74030592133235507</v>
      </c>
      <c r="O52" s="15">
        <f t="shared" si="5"/>
        <v>9.2693860456685859E-2</v>
      </c>
      <c r="P52" s="39">
        <f>+C52-Mayo!C52</f>
        <v>0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218539148</v>
      </c>
      <c r="I53" s="14">
        <v>81460852</v>
      </c>
      <c r="J53" s="27">
        <v>187852750</v>
      </c>
      <c r="K53" s="27">
        <v>187852750</v>
      </c>
      <c r="L53" s="27">
        <v>186754558</v>
      </c>
      <c r="M53" s="27">
        <v>186754558</v>
      </c>
      <c r="N53" s="15">
        <f t="shared" si="4"/>
        <v>0.62617583333333338</v>
      </c>
      <c r="O53" s="15">
        <f t="shared" si="5"/>
        <v>0.62617583333333338</v>
      </c>
      <c r="P53" s="39">
        <f>+C53-Mayo!C53</f>
        <v>0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38919161</v>
      </c>
      <c r="K54" s="8">
        <f t="shared" si="33"/>
        <v>38919161</v>
      </c>
      <c r="L54" s="8">
        <f t="shared" si="33"/>
        <v>38919161</v>
      </c>
      <c r="M54" s="8">
        <f t="shared" si="33"/>
        <v>38919161</v>
      </c>
      <c r="N54" s="9">
        <f t="shared" si="4"/>
        <v>1.0664770697006566E-2</v>
      </c>
      <c r="O54" s="10">
        <f t="shared" si="5"/>
        <v>1.0664770697006566E-2</v>
      </c>
      <c r="P54" s="39">
        <f>+C54-Mayo!C54</f>
        <v>0</v>
      </c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  <c r="P55" s="39">
        <f>+C55-Mayo!C55</f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31844705</v>
      </c>
      <c r="K56" s="13">
        <v>31844705</v>
      </c>
      <c r="L56" s="13">
        <v>31844705</v>
      </c>
      <c r="M56" s="13">
        <v>31844705</v>
      </c>
      <c r="N56" s="15">
        <f t="shared" si="4"/>
        <v>0.39875663661407462</v>
      </c>
      <c r="O56" s="15">
        <f t="shared" si="5"/>
        <v>0.39875663661407462</v>
      </c>
      <c r="P56" s="39">
        <f>+C56-Mayo!C56</f>
        <v>0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  <c r="P57" s="39">
        <f>+C57-Mayo!C57</f>
        <v>0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  <c r="P58" s="39">
        <f>+C58-Mayo!C58</f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39">
        <f>+C59-Mayo!C59</f>
        <v>0</v>
      </c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  <c r="P60" s="39">
        <f>+C60-Mayo!C60</f>
        <v>0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  <c r="P61" s="39">
        <f>+C61-Mayo!C61</f>
        <v>0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  <c r="P62" s="39">
        <f>+C62-Mayo!C62</f>
        <v>0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  <c r="P63" s="39">
        <f>+C63-Mayo!C63</f>
        <v>0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  <c r="P64" s="39">
        <f>+C64-Mayo!C64</f>
        <v>0</v>
      </c>
    </row>
    <row r="65" spans="1:16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2897734671.8099999</v>
      </c>
      <c r="I65" s="8">
        <f t="shared" si="45"/>
        <v>4102265328.1900001</v>
      </c>
      <c r="J65" s="8">
        <f t="shared" si="45"/>
        <v>2380401338.8099999</v>
      </c>
      <c r="K65" s="8">
        <f t="shared" si="45"/>
        <v>531839693.86000001</v>
      </c>
      <c r="L65" s="8">
        <f t="shared" si="45"/>
        <v>531839693.86000001</v>
      </c>
      <c r="M65" s="8">
        <f t="shared" si="45"/>
        <v>531839693.86000001</v>
      </c>
      <c r="N65" s="9">
        <f t="shared" si="4"/>
        <v>0.34005733411571426</v>
      </c>
      <c r="O65" s="10">
        <f t="shared" si="5"/>
        <v>7.5977099122857147E-2</v>
      </c>
      <c r="P65" s="39">
        <f>+C65-Mayo!C65</f>
        <v>0</v>
      </c>
    </row>
    <row r="66" spans="1:16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  <c r="P66" s="39">
        <f>+C66-Mayo!C66</f>
        <v>0</v>
      </c>
    </row>
    <row r="67" spans="1:16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  <c r="P67" s="39">
        <f>+C67-Mayo!C67</f>
        <v>0</v>
      </c>
    </row>
    <row r="68" spans="1:16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0</v>
      </c>
      <c r="L68" s="18">
        <f t="shared" si="47"/>
        <v>0</v>
      </c>
      <c r="M68" s="18">
        <f t="shared" si="47"/>
        <v>0</v>
      </c>
      <c r="N68" s="20">
        <f t="shared" si="4"/>
        <v>0.12200178506549383</v>
      </c>
      <c r="O68" s="20">
        <f t="shared" si="5"/>
        <v>0</v>
      </c>
      <c r="P68" s="39">
        <f>+C68-Mayo!C68</f>
        <v>0</v>
      </c>
    </row>
    <row r="69" spans="1:16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0</v>
      </c>
      <c r="L69" s="13">
        <v>0</v>
      </c>
      <c r="M69" s="13">
        <v>0</v>
      </c>
      <c r="N69" s="15">
        <f t="shared" si="4"/>
        <v>0.6863994997310382</v>
      </c>
      <c r="O69" s="15">
        <f t="shared" si="5"/>
        <v>0</v>
      </c>
      <c r="P69" s="39">
        <f>+C69-Mayo!C69</f>
        <v>0</v>
      </c>
    </row>
    <row r="70" spans="1:16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  <c r="P70" s="39">
        <f>+C70-Mayo!C70</f>
        <v>0</v>
      </c>
    </row>
    <row r="71" spans="1:16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  <c r="P71" s="39">
        <f>+C71-Mayo!C71</f>
        <v>0</v>
      </c>
    </row>
    <row r="72" spans="1:16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1066780462.8099999</v>
      </c>
      <c r="I72" s="18">
        <f t="shared" si="48"/>
        <v>1758430722.1900001</v>
      </c>
      <c r="J72" s="18">
        <f t="shared" si="48"/>
        <v>622780462.80999994</v>
      </c>
      <c r="K72" s="18">
        <f t="shared" si="48"/>
        <v>259237573.19</v>
      </c>
      <c r="L72" s="18">
        <f t="shared" si="48"/>
        <v>259237573.19</v>
      </c>
      <c r="M72" s="18">
        <f t="shared" si="48"/>
        <v>259237573.19</v>
      </c>
      <c r="N72" s="20">
        <f t="shared" si="4"/>
        <v>0.22043678225420871</v>
      </c>
      <c r="O72" s="20">
        <f t="shared" si="5"/>
        <v>9.1758653146490357E-2</v>
      </c>
      <c r="P72" s="39">
        <f>+C72-Mayo!C72</f>
        <v>0</v>
      </c>
    </row>
    <row r="73" spans="1:16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832780462.80999994</v>
      </c>
      <c r="I73" s="14">
        <v>1067219537.1900001</v>
      </c>
      <c r="J73" s="13">
        <v>622780462.80999994</v>
      </c>
      <c r="K73" s="13">
        <v>259237573.19</v>
      </c>
      <c r="L73" s="13">
        <v>259237573.19</v>
      </c>
      <c r="M73" s="13">
        <v>259237573.19</v>
      </c>
      <c r="N73" s="15">
        <f t="shared" si="4"/>
        <v>0.32777919095263153</v>
      </c>
      <c r="O73" s="15">
        <f t="shared" si="5"/>
        <v>0.13644082799473684</v>
      </c>
      <c r="P73" s="39">
        <f>+C73-Mayo!C73</f>
        <v>0</v>
      </c>
    </row>
    <row r="74" spans="1:16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234000000</v>
      </c>
      <c r="I74" s="14">
        <v>691211185</v>
      </c>
      <c r="J74" s="13">
        <v>0</v>
      </c>
      <c r="K74" s="13">
        <v>0</v>
      </c>
      <c r="L74" s="13">
        <v>0</v>
      </c>
      <c r="M74" s="13">
        <v>0</v>
      </c>
      <c r="N74" s="15">
        <f t="shared" si="4"/>
        <v>0</v>
      </c>
      <c r="O74" s="15">
        <f t="shared" si="5"/>
        <v>0</v>
      </c>
      <c r="P74" s="39">
        <f>+C74-Mayo!C74</f>
        <v>0</v>
      </c>
    </row>
    <row r="75" spans="1:16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1463046690</v>
      </c>
      <c r="I75" s="18">
        <f t="shared" si="49"/>
        <v>936953310</v>
      </c>
      <c r="J75" s="18">
        <f t="shared" si="49"/>
        <v>1389713357</v>
      </c>
      <c r="K75" s="18">
        <f t="shared" si="49"/>
        <v>245350125.66999999</v>
      </c>
      <c r="L75" s="18">
        <f t="shared" si="49"/>
        <v>245350125.66999999</v>
      </c>
      <c r="M75" s="18">
        <f t="shared" si="49"/>
        <v>245350125.66999999</v>
      </c>
      <c r="N75" s="20">
        <f t="shared" si="4"/>
        <v>0.57904723208333331</v>
      </c>
      <c r="O75" s="20">
        <f t="shared" si="5"/>
        <v>0.10222921902916667</v>
      </c>
      <c r="P75" s="39">
        <f>+C75-Mayo!C75</f>
        <v>0</v>
      </c>
    </row>
    <row r="76" spans="1:16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576716667</v>
      </c>
      <c r="I76" s="14">
        <v>371045333</v>
      </c>
      <c r="J76" s="13">
        <v>550316667</v>
      </c>
      <c r="K76" s="13">
        <v>158632999.66999999</v>
      </c>
      <c r="L76" s="13">
        <v>158632999.66999999</v>
      </c>
      <c r="M76" s="13">
        <v>158632999.66999999</v>
      </c>
      <c r="N76" s="15">
        <f t="shared" si="4"/>
        <v>0.58064858793663388</v>
      </c>
      <c r="O76" s="15">
        <f t="shared" si="5"/>
        <v>0.16737640849706992</v>
      </c>
      <c r="P76" s="39">
        <f>+C76-Mayo!C76</f>
        <v>0</v>
      </c>
    </row>
    <row r="77" spans="1:16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331242811</v>
      </c>
      <c r="I77" s="14">
        <v>68757189</v>
      </c>
      <c r="J77" s="13">
        <v>284309478</v>
      </c>
      <c r="K77" s="13">
        <v>54650459</v>
      </c>
      <c r="L77" s="13">
        <v>54650459</v>
      </c>
      <c r="M77" s="13">
        <v>54650459</v>
      </c>
      <c r="N77" s="15">
        <f t="shared" si="4"/>
        <v>0.71077369499999998</v>
      </c>
      <c r="O77" s="15">
        <f t="shared" si="5"/>
        <v>0.13662614749999999</v>
      </c>
      <c r="P77" s="39">
        <f>+C77-Mayo!C77</f>
        <v>0</v>
      </c>
    </row>
    <row r="78" spans="1:16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13866667</v>
      </c>
      <c r="L78" s="13">
        <v>13866667</v>
      </c>
      <c r="M78" s="13">
        <v>13866667</v>
      </c>
      <c r="N78" s="15">
        <f t="shared" si="4"/>
        <v>0.33396282675678363</v>
      </c>
      <c r="O78" s="15">
        <f t="shared" si="5"/>
        <v>6.8912965907961435E-2</v>
      </c>
      <c r="P78" s="39">
        <f>+C78-Mayo!C78</f>
        <v>0</v>
      </c>
    </row>
    <row r="79" spans="1:16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487887212</v>
      </c>
      <c r="I79" s="14">
        <v>363130788</v>
      </c>
      <c r="J79" s="13">
        <v>487887212</v>
      </c>
      <c r="K79" s="13">
        <v>18200000</v>
      </c>
      <c r="L79" s="13">
        <v>18200000</v>
      </c>
      <c r="M79" s="13">
        <v>18200000</v>
      </c>
      <c r="N79" s="15">
        <f t="shared" si="4"/>
        <v>0.57329834621594378</v>
      </c>
      <c r="O79" s="15">
        <f t="shared" si="5"/>
        <v>2.1386151644266042E-2</v>
      </c>
      <c r="P79" s="39">
        <f>+C79-Mayo!C79</f>
        <v>0</v>
      </c>
    </row>
    <row r="80" spans="1:16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  <c r="P80" s="39">
        <f>+C80-Mayo!C80</f>
        <v>0</v>
      </c>
    </row>
    <row r="81" spans="1:16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0</v>
      </c>
      <c r="I81" s="14">
        <v>120000000</v>
      </c>
      <c r="J81" s="13">
        <v>0</v>
      </c>
      <c r="K81" s="13">
        <v>0</v>
      </c>
      <c r="L81" s="13">
        <v>0</v>
      </c>
      <c r="M81" s="13">
        <v>0</v>
      </c>
      <c r="N81" s="15">
        <f>+J81/F81</f>
        <v>0</v>
      </c>
      <c r="O81" s="15">
        <f>+K81/F81</f>
        <v>0</v>
      </c>
      <c r="P81" s="39">
        <f>+C81-Mayo!C81</f>
        <v>0</v>
      </c>
    </row>
    <row r="82" spans="1:16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  <c r="P82" s="39">
        <f>+C82-Mayo!C82</f>
        <v>0</v>
      </c>
    </row>
    <row r="83" spans="1:16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27251995</v>
      </c>
      <c r="L83" s="18">
        <f t="shared" si="51"/>
        <v>27251995</v>
      </c>
      <c r="M83" s="18">
        <f t="shared" si="51"/>
        <v>27251995</v>
      </c>
      <c r="N83" s="20">
        <f t="shared" si="4"/>
        <v>0.48741655139594819</v>
      </c>
      <c r="O83" s="20">
        <f t="shared" si="5"/>
        <v>8.2860814223797791E-2</v>
      </c>
      <c r="P83" s="39">
        <f>+C83-Mayo!C83</f>
        <v>0</v>
      </c>
    </row>
    <row r="84" spans="1:16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0</v>
      </c>
      <c r="I84" s="14">
        <v>34688334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  <c r="P84" s="39">
        <f>+C84-Mayo!C84</f>
        <v>0</v>
      </c>
    </row>
    <row r="85" spans="1:16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160305852</v>
      </c>
      <c r="I85" s="14">
        <v>133894629</v>
      </c>
      <c r="J85" s="13">
        <v>160305852</v>
      </c>
      <c r="K85" s="13">
        <v>27251995</v>
      </c>
      <c r="L85" s="13">
        <v>27251995</v>
      </c>
      <c r="M85" s="13">
        <v>27251995</v>
      </c>
      <c r="N85" s="15">
        <f t="shared" si="4"/>
        <v>0.54488643749022292</v>
      </c>
      <c r="O85" s="15">
        <f t="shared" si="5"/>
        <v>9.2630694917184717E-2</v>
      </c>
      <c r="P85" s="39">
        <f>+C85-Mayo!C85</f>
        <v>0</v>
      </c>
    </row>
    <row r="86" spans="1:16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1619001340</v>
      </c>
      <c r="E86" s="8">
        <f t="shared" si="52"/>
        <v>1619001340</v>
      </c>
      <c r="F86" s="8">
        <f t="shared" si="52"/>
        <v>36191962728</v>
      </c>
      <c r="G86" s="8">
        <f t="shared" si="52"/>
        <v>2435000000</v>
      </c>
      <c r="H86" s="8">
        <f t="shared" si="52"/>
        <v>27035745072.82</v>
      </c>
      <c r="I86" s="8">
        <f t="shared" si="52"/>
        <v>6721217655.1800003</v>
      </c>
      <c r="J86" s="8">
        <f t="shared" si="52"/>
        <v>17842565996.369999</v>
      </c>
      <c r="K86" s="8">
        <f t="shared" si="52"/>
        <v>12311728243.639999</v>
      </c>
      <c r="L86" s="8">
        <f t="shared" si="52"/>
        <v>12290625382.639999</v>
      </c>
      <c r="M86" s="8">
        <f t="shared" si="52"/>
        <v>12289439609.200001</v>
      </c>
      <c r="N86" s="9">
        <f t="shared" si="4"/>
        <v>0.49299802087180128</v>
      </c>
      <c r="O86" s="10">
        <f t="shared" si="5"/>
        <v>0.34017851798114834</v>
      </c>
    </row>
    <row r="87" spans="1:16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64" t="s">
        <v>243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1641001340</v>
      </c>
      <c r="E5" s="7">
        <f t="shared" si="0"/>
        <v>1641001340</v>
      </c>
      <c r="F5" s="7">
        <f t="shared" si="0"/>
        <v>29191962728</v>
      </c>
      <c r="G5" s="7">
        <f t="shared" si="0"/>
        <v>2435000000</v>
      </c>
      <c r="H5" s="7">
        <f t="shared" si="0"/>
        <v>24246901587.009998</v>
      </c>
      <c r="I5" s="7">
        <f t="shared" si="0"/>
        <v>2510061140.9900007</v>
      </c>
      <c r="J5" s="7">
        <f t="shared" si="0"/>
        <v>16668636712.449999</v>
      </c>
      <c r="K5" s="7">
        <f t="shared" si="0"/>
        <v>14381102453.59</v>
      </c>
      <c r="L5" s="7">
        <f t="shared" si="0"/>
        <v>14381102453.59</v>
      </c>
      <c r="M5" s="7">
        <f t="shared" si="0"/>
        <v>14381102453.59</v>
      </c>
      <c r="N5" s="9">
        <f>+J5/F5</f>
        <v>0.57100089047667812</v>
      </c>
      <c r="O5" s="10">
        <f>+K5/F5</f>
        <v>0.49263910712643194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501504000</v>
      </c>
      <c r="E6" s="7">
        <f>+E7+E36+E37</f>
        <v>501504000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7788222504</v>
      </c>
      <c r="K6" s="7">
        <f t="shared" si="1"/>
        <v>7788093483</v>
      </c>
      <c r="L6" s="7">
        <f t="shared" si="1"/>
        <v>7788093483</v>
      </c>
      <c r="M6" s="7">
        <f>+M7+M36+M37</f>
        <v>7788093483</v>
      </c>
      <c r="N6" s="9">
        <f>+J6/F6</f>
        <v>0.49991193405510387</v>
      </c>
      <c r="O6" s="10">
        <f>+K6/F6</f>
        <v>0.49990365243017465</v>
      </c>
      <c r="P6" s="39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75000000</v>
      </c>
      <c r="E7" s="18">
        <f>+E8+E20+E30</f>
        <v>75000000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7788222504</v>
      </c>
      <c r="K7" s="18">
        <f>+K8+K20+K30</f>
        <v>7788093483</v>
      </c>
      <c r="L7" s="18">
        <f>+L8+L20+L30</f>
        <v>7788093483</v>
      </c>
      <c r="M7" s="18">
        <f>+M8+M20+M30</f>
        <v>7788093483</v>
      </c>
      <c r="N7" s="20">
        <f>+J7/F7</f>
        <v>0.5139830006365208</v>
      </c>
      <c r="O7" s="20">
        <f>+K7/F7</f>
        <v>0.51397448590794304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5275768596</v>
      </c>
      <c r="K8" s="18">
        <f>+K9</f>
        <v>5275679838</v>
      </c>
      <c r="L8" s="18">
        <f>+L9</f>
        <v>5275679838</v>
      </c>
      <c r="M8" s="18">
        <f>+M9</f>
        <v>5275679838</v>
      </c>
      <c r="N8" s="20">
        <f t="shared" ref="N8:N86" si="4">+J8/F8</f>
        <v>0.50325643862153202</v>
      </c>
      <c r="O8" s="20">
        <f t="shared" ref="O8:O86" si="5">+K8/F8</f>
        <v>0.5032479719812375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5275768596</v>
      </c>
      <c r="K9" s="18">
        <f>SUM(K10:K19)</f>
        <v>5275679838</v>
      </c>
      <c r="L9" s="18">
        <f>SUM(L10:L19)</f>
        <v>5275679838</v>
      </c>
      <c r="M9" s="18">
        <f>SUM(M10:M19)</f>
        <v>5275679838</v>
      </c>
      <c r="N9" s="20">
        <f t="shared" si="4"/>
        <v>0.50325643862153202</v>
      </c>
      <c r="O9" s="20">
        <f t="shared" si="5"/>
        <v>0.5032479719812375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4312023886</v>
      </c>
      <c r="K10" s="13">
        <v>4312023886</v>
      </c>
      <c r="L10" s="13">
        <v>4312023886</v>
      </c>
      <c r="M10" s="13">
        <v>4312023886</v>
      </c>
      <c r="N10" s="15">
        <f t="shared" si="4"/>
        <v>0.56270701892209318</v>
      </c>
      <c r="O10" s="15">
        <f t="shared" si="5"/>
        <v>0.56270701892209318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39998541</v>
      </c>
      <c r="K11" s="13">
        <v>39998541</v>
      </c>
      <c r="L11" s="13">
        <v>39998541</v>
      </c>
      <c r="M11" s="13">
        <v>39998541</v>
      </c>
      <c r="N11" s="15">
        <f t="shared" si="4"/>
        <v>0.54792521917808223</v>
      </c>
      <c r="O11" s="15">
        <f t="shared" si="5"/>
        <v>0.54792521917808223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251855023</v>
      </c>
      <c r="K12" s="13">
        <v>251855023</v>
      </c>
      <c r="L12" s="13">
        <v>251855023</v>
      </c>
      <c r="M12" s="13">
        <v>251855023</v>
      </c>
      <c r="N12" s="15">
        <f t="shared" si="4"/>
        <v>0.39352347343749999</v>
      </c>
      <c r="O12" s="15">
        <f t="shared" si="5"/>
        <v>0.39352347343749999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7304089</v>
      </c>
      <c r="K13" s="13">
        <v>7304089</v>
      </c>
      <c r="L13" s="13">
        <v>7304089</v>
      </c>
      <c r="M13" s="13">
        <v>7304089</v>
      </c>
      <c r="N13" s="15">
        <f t="shared" si="4"/>
        <v>0.52172064285714281</v>
      </c>
      <c r="O13" s="15">
        <f t="shared" si="5"/>
        <v>0.52172064285714281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343894071</v>
      </c>
      <c r="K15" s="13">
        <v>343834071</v>
      </c>
      <c r="L15" s="13">
        <v>343834071</v>
      </c>
      <c r="M15" s="13">
        <v>343834071</v>
      </c>
      <c r="N15" s="15">
        <f t="shared" si="4"/>
        <v>0.85122294801980203</v>
      </c>
      <c r="O15" s="15">
        <f t="shared" si="5"/>
        <v>0.85107443316831688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138854686</v>
      </c>
      <c r="K16" s="13">
        <v>138854686</v>
      </c>
      <c r="L16" s="13">
        <v>138854686</v>
      </c>
      <c r="M16" s="13">
        <v>138854686</v>
      </c>
      <c r="N16" s="15">
        <f t="shared" si="4"/>
        <v>0.48381423693379794</v>
      </c>
      <c r="O16" s="15">
        <f t="shared" si="5"/>
        <v>0.48381423693379794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26507833</v>
      </c>
      <c r="K17" s="13">
        <v>26507833</v>
      </c>
      <c r="L17" s="13">
        <v>26507833</v>
      </c>
      <c r="M17" s="13">
        <v>26507833</v>
      </c>
      <c r="N17" s="15">
        <f t="shared" si="4"/>
        <v>0.44179721666666666</v>
      </c>
      <c r="O17" s="15">
        <f t="shared" si="5"/>
        <v>0.44179721666666666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4675912</v>
      </c>
      <c r="K18" s="13">
        <v>4675912</v>
      </c>
      <c r="L18" s="13">
        <v>4675912</v>
      </c>
      <c r="M18" s="13">
        <v>4675912</v>
      </c>
      <c r="N18" s="15">
        <f t="shared" si="4"/>
        <v>5.5010729411764702E-3</v>
      </c>
      <c r="O18" s="15">
        <f t="shared" si="5"/>
        <v>5.5010729411764702E-3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150654555</v>
      </c>
      <c r="K19" s="13">
        <v>150625797</v>
      </c>
      <c r="L19" s="13">
        <v>150625797</v>
      </c>
      <c r="M19" s="13">
        <v>150625797</v>
      </c>
      <c r="N19" s="15">
        <f t="shared" si="4"/>
        <v>0.30918656531099348</v>
      </c>
      <c r="O19" s="15">
        <f t="shared" si="5"/>
        <v>0.30912754560697447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2021765191</v>
      </c>
      <c r="K20" s="18">
        <f t="shared" ref="K20:M20" si="9">SUM(K21:K29)</f>
        <v>2021765191</v>
      </c>
      <c r="L20" s="18">
        <f t="shared" si="9"/>
        <v>2021765191</v>
      </c>
      <c r="M20" s="18">
        <f t="shared" si="9"/>
        <v>2021765191</v>
      </c>
      <c r="N20" s="20">
        <f t="shared" si="4"/>
        <v>0.50917533506973389</v>
      </c>
      <c r="O20" s="20">
        <f t="shared" si="5"/>
        <v>0.50917533506973389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613923850</v>
      </c>
      <c r="K21" s="13">
        <v>613923850</v>
      </c>
      <c r="L21" s="13">
        <v>613923850</v>
      </c>
      <c r="M21" s="13">
        <v>613923850</v>
      </c>
      <c r="N21" s="15">
        <f t="shared" si="4"/>
        <v>0.51131942605187453</v>
      </c>
      <c r="O21" s="15">
        <f t="shared" si="5"/>
        <v>0.51131942605187453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434868250</v>
      </c>
      <c r="K22" s="13">
        <v>434868250</v>
      </c>
      <c r="L22" s="13">
        <v>434868250</v>
      </c>
      <c r="M22" s="13">
        <v>434868250</v>
      </c>
      <c r="N22" s="15">
        <f t="shared" si="4"/>
        <v>0.55752339743589741</v>
      </c>
      <c r="O22" s="15">
        <f t="shared" si="5"/>
        <v>0.55752339743589741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456162491</v>
      </c>
      <c r="K23" s="13">
        <v>456162491</v>
      </c>
      <c r="L23" s="13">
        <v>456162491</v>
      </c>
      <c r="M23" s="13">
        <v>456162491</v>
      </c>
      <c r="N23" s="15">
        <f t="shared" si="4"/>
        <v>0.49582879456521739</v>
      </c>
      <c r="O23" s="15">
        <f t="shared" si="5"/>
        <v>0.49582879456521739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217023000</v>
      </c>
      <c r="K24" s="13">
        <v>217023000</v>
      </c>
      <c r="L24" s="13">
        <v>217023000</v>
      </c>
      <c r="M24" s="13">
        <v>217023000</v>
      </c>
      <c r="N24" s="15">
        <f t="shared" si="4"/>
        <v>0.51672142857142855</v>
      </c>
      <c r="O24" s="15">
        <f t="shared" si="5"/>
        <v>0.51672142857142855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28367300</v>
      </c>
      <c r="K25" s="13">
        <v>28367300</v>
      </c>
      <c r="L25" s="13">
        <v>28367300</v>
      </c>
      <c r="M25" s="13">
        <v>28367300</v>
      </c>
      <c r="N25" s="15">
        <f t="shared" si="4"/>
        <v>0.40524714285714286</v>
      </c>
      <c r="O25" s="15">
        <f t="shared" si="5"/>
        <v>0.40524714285714286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162769500</v>
      </c>
      <c r="K26" s="13">
        <v>162769500</v>
      </c>
      <c r="L26" s="13">
        <v>162769500</v>
      </c>
      <c r="M26" s="13">
        <v>162769500</v>
      </c>
      <c r="N26" s="15">
        <f t="shared" si="4"/>
        <v>0.50865468749999998</v>
      </c>
      <c r="O26" s="15">
        <f t="shared" si="5"/>
        <v>0.50865468749999998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27176100</v>
      </c>
      <c r="K27" s="13">
        <v>27176100</v>
      </c>
      <c r="L27" s="13">
        <v>27176100</v>
      </c>
      <c r="M27" s="13">
        <v>27176100</v>
      </c>
      <c r="N27" s="15">
        <f t="shared" si="4"/>
        <v>0.38823000000000002</v>
      </c>
      <c r="O27" s="15">
        <f t="shared" si="5"/>
        <v>0.38823000000000002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27176100</v>
      </c>
      <c r="K28" s="13">
        <v>27176100</v>
      </c>
      <c r="L28" s="13">
        <v>27176100</v>
      </c>
      <c r="M28" s="13">
        <v>27176100</v>
      </c>
      <c r="N28" s="15">
        <f t="shared" si="4"/>
        <v>0.38823000000000002</v>
      </c>
      <c r="O28" s="15">
        <f t="shared" si="5"/>
        <v>0.38823000000000002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54298600</v>
      </c>
      <c r="K29" s="13">
        <v>54298600</v>
      </c>
      <c r="L29" s="13">
        <v>54298600</v>
      </c>
      <c r="M29" s="13">
        <v>54298600</v>
      </c>
      <c r="N29" s="15">
        <f t="shared" si="4"/>
        <v>0.45248833333333333</v>
      </c>
      <c r="O29" s="15">
        <f t="shared" si="5"/>
        <v>0.45248833333333333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75000000</v>
      </c>
      <c r="E30" s="18">
        <f t="shared" si="10"/>
        <v>75000000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490688717</v>
      </c>
      <c r="K30" s="18">
        <f t="shared" ref="K30:M30" si="13">SUM(K31:K35)</f>
        <v>490648454</v>
      </c>
      <c r="L30" s="18">
        <f t="shared" si="13"/>
        <v>490648454</v>
      </c>
      <c r="M30" s="18">
        <f t="shared" si="13"/>
        <v>490648454</v>
      </c>
      <c r="N30" s="20">
        <f t="shared" si="4"/>
        <v>0.70222983779792147</v>
      </c>
      <c r="O30" s="20">
        <f t="shared" si="5"/>
        <v>0.70217221699071786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0</v>
      </c>
      <c r="F31" s="14">
        <v>294262800</v>
      </c>
      <c r="G31" s="13">
        <v>0</v>
      </c>
      <c r="H31" s="13">
        <v>294262800</v>
      </c>
      <c r="I31" s="14">
        <v>0</v>
      </c>
      <c r="J31" s="13">
        <v>192794268</v>
      </c>
      <c r="K31" s="13">
        <v>192754005</v>
      </c>
      <c r="L31" s="13">
        <v>192754005</v>
      </c>
      <c r="M31" s="13">
        <v>192754005</v>
      </c>
      <c r="N31" s="15">
        <f t="shared" si="4"/>
        <v>0.65517716816396776</v>
      </c>
      <c r="O31" s="15">
        <f t="shared" si="5"/>
        <v>0.65504034149066748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0</v>
      </c>
      <c r="F32" s="14">
        <v>87000000</v>
      </c>
      <c r="G32" s="13">
        <v>0</v>
      </c>
      <c r="H32" s="13">
        <v>87000000</v>
      </c>
      <c r="I32" s="14">
        <v>0</v>
      </c>
      <c r="J32" s="13">
        <v>69769807</v>
      </c>
      <c r="K32" s="13">
        <v>69769807</v>
      </c>
      <c r="L32" s="13">
        <v>69769807</v>
      </c>
      <c r="M32" s="13">
        <v>69769807</v>
      </c>
      <c r="N32" s="15">
        <f t="shared" si="4"/>
        <v>0.8019518045977011</v>
      </c>
      <c r="O32" s="15">
        <f t="shared" si="5"/>
        <v>0.8019518045977011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0</v>
      </c>
      <c r="F33" s="14">
        <v>47548800</v>
      </c>
      <c r="G33" s="13">
        <v>0</v>
      </c>
      <c r="H33" s="13">
        <v>47548800</v>
      </c>
      <c r="I33" s="14">
        <v>0</v>
      </c>
      <c r="J33" s="13">
        <v>17313165</v>
      </c>
      <c r="K33" s="13">
        <v>17313165</v>
      </c>
      <c r="L33" s="13">
        <v>17313165</v>
      </c>
      <c r="M33" s="13">
        <v>17313165</v>
      </c>
      <c r="N33" s="15">
        <f t="shared" si="4"/>
        <v>0.36411360539067233</v>
      </c>
      <c r="O33" s="15">
        <f t="shared" si="5"/>
        <v>0.36411360539067233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48000000</v>
      </c>
      <c r="E34" s="13">
        <v>0</v>
      </c>
      <c r="F34" s="14">
        <v>201946400</v>
      </c>
      <c r="G34" s="13">
        <v>0</v>
      </c>
      <c r="H34" s="13">
        <v>201946400</v>
      </c>
      <c r="I34" s="14">
        <v>0</v>
      </c>
      <c r="J34" s="13">
        <v>169494409</v>
      </c>
      <c r="K34" s="13">
        <v>169494409</v>
      </c>
      <c r="L34" s="13">
        <v>169494409</v>
      </c>
      <c r="M34" s="13">
        <v>169494409</v>
      </c>
      <c r="N34" s="15">
        <f t="shared" si="4"/>
        <v>0.83930393906501921</v>
      </c>
      <c r="O34" s="15">
        <f t="shared" si="5"/>
        <v>0.83930393906501921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41317068</v>
      </c>
      <c r="K35" s="13">
        <v>41317068</v>
      </c>
      <c r="L35" s="13">
        <v>41317068</v>
      </c>
      <c r="M35" s="13">
        <v>41317068</v>
      </c>
      <c r="N35" s="15">
        <f t="shared" si="4"/>
        <v>0.60760394117647054</v>
      </c>
      <c r="O35" s="15">
        <f t="shared" si="5"/>
        <v>0.60760394117647054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1022000000</v>
      </c>
      <c r="E38" s="8">
        <f t="shared" si="14"/>
        <v>1024058000</v>
      </c>
      <c r="F38" s="8">
        <f t="shared" si="14"/>
        <v>9895695728</v>
      </c>
      <c r="G38" s="8">
        <f t="shared" si="14"/>
        <v>0</v>
      </c>
      <c r="H38" s="8">
        <f t="shared" si="14"/>
        <v>8981598587.0099983</v>
      </c>
      <c r="I38" s="8">
        <f t="shared" si="14"/>
        <v>914097140.99000096</v>
      </c>
      <c r="J38" s="8">
        <f t="shared" si="14"/>
        <v>8825170482.4499989</v>
      </c>
      <c r="K38" s="8">
        <f t="shared" si="14"/>
        <v>6537769753.5900002</v>
      </c>
      <c r="L38" s="8">
        <f t="shared" si="14"/>
        <v>6537769753.5900002</v>
      </c>
      <c r="M38" s="8">
        <f t="shared" si="14"/>
        <v>6537769753.5900002</v>
      </c>
      <c r="N38" s="9">
        <f t="shared" si="4"/>
        <v>0.89181910246887075</v>
      </c>
      <c r="O38" s="10">
        <f t="shared" si="5"/>
        <v>0.66066802509815403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7127436.7999999998</v>
      </c>
      <c r="I39" s="19">
        <f t="shared" ref="I39:I48" si="18">+F39-G39-H39</f>
        <v>125814563.2</v>
      </c>
      <c r="J39" s="18">
        <f t="shared" ref="J39:M39" si="19">+J40</f>
        <v>7127436.7999999998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5.3613130538129411E-2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7127436.7999999998</v>
      </c>
      <c r="I40" s="19">
        <f t="shared" si="18"/>
        <v>125814563.2</v>
      </c>
      <c r="J40" s="18">
        <f t="shared" ref="J40:M40" si="22">SUM(J41:J42)</f>
        <v>7127436.7999999998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5.3613130538129411E-2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3192436.8</v>
      </c>
      <c r="I42" s="14">
        <v>89749563.200000003</v>
      </c>
      <c r="J42" s="13">
        <v>3192436.8</v>
      </c>
      <c r="K42" s="13">
        <v>3192436</v>
      </c>
      <c r="L42" s="13">
        <v>3192436</v>
      </c>
      <c r="M42" s="13">
        <v>3192436</v>
      </c>
      <c r="N42" s="15">
        <f t="shared" si="4"/>
        <v>3.4348699188741366E-2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1022000000</v>
      </c>
      <c r="E43" s="18">
        <f t="shared" si="23"/>
        <v>1022000000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8974471150.2099991</v>
      </c>
      <c r="I43" s="19">
        <f t="shared" si="18"/>
        <v>788282577.79000092</v>
      </c>
      <c r="J43" s="18">
        <f t="shared" ref="J43:M43" si="25">+J44+J48</f>
        <v>8818043045.6499996</v>
      </c>
      <c r="K43" s="18">
        <f t="shared" si="25"/>
        <v>6532197317.5900002</v>
      </c>
      <c r="L43" s="18">
        <f t="shared" si="25"/>
        <v>6532197317.5900002</v>
      </c>
      <c r="M43" s="18">
        <f t="shared" si="25"/>
        <v>6532197317.5900002</v>
      </c>
      <c r="N43" s="20">
        <f t="shared" si="4"/>
        <v>0.90323317491451938</v>
      </c>
      <c r="O43" s="20">
        <f t="shared" si="5"/>
        <v>0.6690937310909908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22000000</v>
      </c>
      <c r="E44" s="18">
        <f t="shared" si="26"/>
        <v>0</v>
      </c>
      <c r="F44" s="19">
        <f>+C44+D44-E44</f>
        <v>114000000</v>
      </c>
      <c r="G44" s="18">
        <f t="shared" si="26"/>
        <v>0</v>
      </c>
      <c r="H44" s="18">
        <f t="shared" si="26"/>
        <v>69856807</v>
      </c>
      <c r="I44" s="19">
        <f t="shared" si="18"/>
        <v>44143193</v>
      </c>
      <c r="J44" s="18">
        <f t="shared" ref="J44" si="27">SUM(J45:J47)</f>
        <v>69856807</v>
      </c>
      <c r="K44" s="18">
        <f t="shared" ref="K44:M44" si="28">SUM(K45:K47)</f>
        <v>54999735</v>
      </c>
      <c r="L44" s="18">
        <f t="shared" si="28"/>
        <v>54999735</v>
      </c>
      <c r="M44" s="18">
        <f t="shared" si="28"/>
        <v>54999735</v>
      </c>
      <c r="N44" s="20">
        <f t="shared" si="4"/>
        <v>0.61277900877192981</v>
      </c>
      <c r="O44" s="20">
        <f t="shared" si="5"/>
        <v>0.48245381578947366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443890</v>
      </c>
      <c r="I45" s="14">
        <v>27556110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9000000</v>
      </c>
      <c r="E46" s="13">
        <v>0</v>
      </c>
      <c r="F46" s="14">
        <v>54000000</v>
      </c>
      <c r="G46" s="13">
        <v>0</v>
      </c>
      <c r="H46" s="13">
        <v>42144067</v>
      </c>
      <c r="I46" s="14">
        <v>11855933</v>
      </c>
      <c r="J46" s="13">
        <v>42144067</v>
      </c>
      <c r="K46" s="13">
        <v>27286995</v>
      </c>
      <c r="L46" s="13">
        <v>27286995</v>
      </c>
      <c r="M46" s="13">
        <v>27286995</v>
      </c>
      <c r="N46" s="15">
        <f t="shared" si="4"/>
        <v>0.7804456851851852</v>
      </c>
      <c r="O46" s="15">
        <f t="shared" si="5"/>
        <v>0.50531472222222218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0</v>
      </c>
      <c r="E47" s="13">
        <v>0</v>
      </c>
      <c r="F47" s="14">
        <v>32000000</v>
      </c>
      <c r="G47" s="13">
        <v>0</v>
      </c>
      <c r="H47" s="13">
        <v>27268850</v>
      </c>
      <c r="I47" s="14">
        <v>4731150</v>
      </c>
      <c r="J47" s="13">
        <v>27268850</v>
      </c>
      <c r="K47" s="13">
        <v>27268850</v>
      </c>
      <c r="L47" s="13">
        <v>27268850</v>
      </c>
      <c r="M47" s="13">
        <v>27268850</v>
      </c>
      <c r="N47" s="15">
        <f t="shared" si="4"/>
        <v>0.85215156250000001</v>
      </c>
      <c r="O47" s="15">
        <f t="shared" si="5"/>
        <v>0.85215156250000001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1000000000</v>
      </c>
      <c r="E48" s="18">
        <f t="shared" si="29"/>
        <v>1022000000</v>
      </c>
      <c r="F48" s="19">
        <f t="shared" si="16"/>
        <v>9648753728</v>
      </c>
      <c r="G48" s="18">
        <f t="shared" ref="G48:H48" si="30">SUM(G49:G53)</f>
        <v>0</v>
      </c>
      <c r="H48" s="18">
        <f t="shared" si="30"/>
        <v>8904614343.2099991</v>
      </c>
      <c r="I48" s="19">
        <f t="shared" si="18"/>
        <v>744139384.79000092</v>
      </c>
      <c r="J48" s="18">
        <f t="shared" ref="J48:M48" si="31">SUM(J49:J53)</f>
        <v>8748186238.6499996</v>
      </c>
      <c r="K48" s="18">
        <f t="shared" si="31"/>
        <v>6477197582.5900002</v>
      </c>
      <c r="L48" s="18">
        <f t="shared" si="31"/>
        <v>6477197582.5900002</v>
      </c>
      <c r="M48" s="18">
        <f t="shared" si="31"/>
        <v>6477197582.5900002</v>
      </c>
      <c r="N48" s="20">
        <f t="shared" si="4"/>
        <v>0.90666489012600482</v>
      </c>
      <c r="O48" s="20">
        <f t="shared" si="5"/>
        <v>0.67129888120096082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0</v>
      </c>
      <c r="F49" s="14">
        <v>1193000000</v>
      </c>
      <c r="G49" s="13">
        <v>0</v>
      </c>
      <c r="H49" s="13">
        <v>1142641263</v>
      </c>
      <c r="I49" s="14">
        <v>50358737</v>
      </c>
      <c r="J49" s="27">
        <v>1114233933</v>
      </c>
      <c r="K49" s="27">
        <v>472499044</v>
      </c>
      <c r="L49" s="27">
        <v>472499044</v>
      </c>
      <c r="M49" s="27">
        <v>472499044</v>
      </c>
      <c r="N49" s="15">
        <f t="shared" si="4"/>
        <v>0.93397647359597658</v>
      </c>
      <c r="O49" s="15">
        <f t="shared" si="5"/>
        <v>0.39605955071248955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5012175731</v>
      </c>
      <c r="I50" s="14">
        <v>13774781</v>
      </c>
      <c r="J50" s="27">
        <v>5012175731</v>
      </c>
      <c r="K50" s="27">
        <v>4851772901</v>
      </c>
      <c r="L50" s="27">
        <v>4851772901</v>
      </c>
      <c r="M50" s="27">
        <v>4851772901</v>
      </c>
      <c r="N50" s="15">
        <f t="shared" si="4"/>
        <v>0.99725926847725399</v>
      </c>
      <c r="O50" s="15">
        <f t="shared" si="5"/>
        <v>0.96534434420232906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22000000</v>
      </c>
      <c r="F51" s="14">
        <v>2265556980</v>
      </c>
      <c r="G51" s="13">
        <v>0</v>
      </c>
      <c r="H51" s="13">
        <v>1808113145.21</v>
      </c>
      <c r="I51" s="14">
        <v>457443834.79000002</v>
      </c>
      <c r="J51" s="27">
        <v>1759984473.6500001</v>
      </c>
      <c r="K51" s="27">
        <v>823478672.59000003</v>
      </c>
      <c r="L51" s="27">
        <v>823478672.59000003</v>
      </c>
      <c r="M51" s="27">
        <v>823478672.59000003</v>
      </c>
      <c r="N51" s="15">
        <f t="shared" si="4"/>
        <v>0.77684405609167251</v>
      </c>
      <c r="O51" s="15">
        <f t="shared" si="5"/>
        <v>0.36347736113439089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132000000</v>
      </c>
      <c r="E52" s="13">
        <v>0</v>
      </c>
      <c r="F52" s="14">
        <v>864246236</v>
      </c>
      <c r="G52" s="13">
        <v>0</v>
      </c>
      <c r="H52" s="13">
        <v>718660736</v>
      </c>
      <c r="I52" s="14">
        <v>145585500</v>
      </c>
      <c r="J52" s="27">
        <v>639806606</v>
      </c>
      <c r="K52" s="27">
        <v>107461470</v>
      </c>
      <c r="L52" s="27">
        <v>107461470</v>
      </c>
      <c r="M52" s="27">
        <v>107461470</v>
      </c>
      <c r="N52" s="15">
        <f t="shared" si="4"/>
        <v>0.74030592133235507</v>
      </c>
      <c r="O52" s="15">
        <f t="shared" si="5"/>
        <v>0.12434126470410223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0</v>
      </c>
      <c r="E53" s="13">
        <v>0</v>
      </c>
      <c r="F53" s="14">
        <v>300000000</v>
      </c>
      <c r="G53" s="13">
        <v>0</v>
      </c>
      <c r="H53" s="13">
        <v>223023468</v>
      </c>
      <c r="I53" s="14">
        <v>76976532</v>
      </c>
      <c r="J53" s="27">
        <v>221985495</v>
      </c>
      <c r="K53" s="27">
        <v>221985495</v>
      </c>
      <c r="L53" s="27">
        <v>221985495</v>
      </c>
      <c r="M53" s="27">
        <v>221985495</v>
      </c>
      <c r="N53" s="15">
        <f t="shared" si="4"/>
        <v>0.73995164999999996</v>
      </c>
      <c r="O53" s="15">
        <f t="shared" si="5"/>
        <v>0.73995164999999996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42485726</v>
      </c>
      <c r="K54" s="8">
        <f t="shared" si="33"/>
        <v>42481217</v>
      </c>
      <c r="L54" s="8">
        <f t="shared" si="33"/>
        <v>42481217</v>
      </c>
      <c r="M54" s="8">
        <f t="shared" si="33"/>
        <v>42481217</v>
      </c>
      <c r="N54" s="9">
        <f t="shared" si="4"/>
        <v>1.1642093869542819E-2</v>
      </c>
      <c r="O54" s="10">
        <f t="shared" si="5"/>
        <v>1.1640858296888188E-2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f t="shared" ref="F55" si="34">+C55+D55-E55</f>
        <v>2435000000</v>
      </c>
      <c r="G55" s="30">
        <v>2435000000</v>
      </c>
      <c r="H55" s="30">
        <v>0</v>
      </c>
      <c r="I55" s="31">
        <f t="shared" ref="I55" si="35">+F55-G55-H55</f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35411270</v>
      </c>
      <c r="K56" s="13">
        <v>35406761</v>
      </c>
      <c r="L56" s="13">
        <v>35406761</v>
      </c>
      <c r="M56" s="13">
        <v>35406761</v>
      </c>
      <c r="N56" s="15">
        <f t="shared" si="4"/>
        <v>0.44341685449536689</v>
      </c>
      <c r="O56" s="15">
        <f t="shared" si="5"/>
        <v>0.44336039318807913</v>
      </c>
    </row>
    <row r="57" spans="1:22" ht="22.5" x14ac:dyDescent="0.25">
      <c r="A57" s="11" t="s">
        <v>147</v>
      </c>
      <c r="B57" s="12" t="s">
        <v>149</v>
      </c>
      <c r="C57" s="59">
        <v>0</v>
      </c>
      <c r="D57" s="59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7074456</v>
      </c>
      <c r="K57" s="13">
        <v>7074456</v>
      </c>
      <c r="L57" s="13">
        <v>7074456</v>
      </c>
      <c r="M57" s="13">
        <v>7074456</v>
      </c>
      <c r="N57" s="15">
        <f t="shared" si="4"/>
        <v>0.3537228</v>
      </c>
      <c r="O57" s="15">
        <f t="shared" si="5"/>
        <v>0.3537228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6">+D60+D64</f>
        <v>2078000</v>
      </c>
      <c r="E59" s="8">
        <f t="shared" si="36"/>
        <v>20000</v>
      </c>
      <c r="F59" s="8">
        <f t="shared" si="36"/>
        <v>67758000</v>
      </c>
      <c r="G59" s="8">
        <f t="shared" si="36"/>
        <v>0</v>
      </c>
      <c r="H59" s="8">
        <f t="shared" si="36"/>
        <v>12758000</v>
      </c>
      <c r="I59" s="8">
        <f t="shared" si="36"/>
        <v>55000000</v>
      </c>
      <c r="J59" s="8">
        <f t="shared" si="36"/>
        <v>12758000</v>
      </c>
      <c r="K59" s="8">
        <f t="shared" si="36"/>
        <v>12758000</v>
      </c>
      <c r="L59" s="8">
        <f t="shared" si="36"/>
        <v>12758000</v>
      </c>
      <c r="M59" s="8">
        <f t="shared" si="36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7">+D61</f>
        <v>2078000</v>
      </c>
      <c r="E60" s="18">
        <f t="shared" si="37"/>
        <v>20000</v>
      </c>
      <c r="F60" s="19">
        <f t="shared" ref="F60:F61" si="38">+C60+D60-E60</f>
        <v>12758000</v>
      </c>
      <c r="G60" s="18">
        <f t="shared" ref="G60:H60" si="39">+G61</f>
        <v>0</v>
      </c>
      <c r="H60" s="18">
        <f t="shared" si="39"/>
        <v>12758000</v>
      </c>
      <c r="I60" s="19">
        <f t="shared" ref="I60:I61" si="40">+F60-G60-H60</f>
        <v>0</v>
      </c>
      <c r="J60" s="18">
        <f t="shared" ref="J60:M60" si="41">+J61</f>
        <v>12758000</v>
      </c>
      <c r="K60" s="18">
        <f t="shared" si="41"/>
        <v>12758000</v>
      </c>
      <c r="L60" s="18">
        <f t="shared" si="41"/>
        <v>12758000</v>
      </c>
      <c r="M60" s="18">
        <f t="shared" si="41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2">SUM(D62:D63)</f>
        <v>2078000</v>
      </c>
      <c r="E61" s="18">
        <f t="shared" si="42"/>
        <v>20000</v>
      </c>
      <c r="F61" s="19">
        <f t="shared" si="38"/>
        <v>12758000</v>
      </c>
      <c r="G61" s="18">
        <f t="shared" ref="G61:H61" si="43">SUM(G62:G63)</f>
        <v>0</v>
      </c>
      <c r="H61" s="18">
        <f t="shared" si="43"/>
        <v>12758000</v>
      </c>
      <c r="I61" s="19">
        <f t="shared" si="40"/>
        <v>0</v>
      </c>
      <c r="J61" s="18">
        <f t="shared" ref="J61:M61" si="44">SUM(J62:J63)</f>
        <v>12758000</v>
      </c>
      <c r="K61" s="18">
        <f t="shared" si="44"/>
        <v>12758000</v>
      </c>
      <c r="L61" s="18">
        <f t="shared" si="44"/>
        <v>12758000</v>
      </c>
      <c r="M61" s="18">
        <f t="shared" si="44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5">+D66+D68+D72+D75+D80+D83</f>
        <v>0</v>
      </c>
      <c r="E65" s="8">
        <f t="shared" si="45"/>
        <v>0</v>
      </c>
      <c r="F65" s="8">
        <f t="shared" si="45"/>
        <v>7000000000</v>
      </c>
      <c r="G65" s="8">
        <f t="shared" si="45"/>
        <v>0</v>
      </c>
      <c r="H65" s="8">
        <f t="shared" si="45"/>
        <v>3257653296.8099999</v>
      </c>
      <c r="I65" s="8">
        <f t="shared" si="45"/>
        <v>3742346703.1900001</v>
      </c>
      <c r="J65" s="8">
        <f t="shared" si="45"/>
        <v>2876884506.8099999</v>
      </c>
      <c r="K65" s="8">
        <f t="shared" si="45"/>
        <v>716249236.12999988</v>
      </c>
      <c r="L65" s="8">
        <f t="shared" si="45"/>
        <v>716249236.12999988</v>
      </c>
      <c r="M65" s="8">
        <f t="shared" si="45"/>
        <v>716249236.12999988</v>
      </c>
      <c r="N65" s="9">
        <f t="shared" si="4"/>
        <v>0.41098350097285713</v>
      </c>
      <c r="O65" s="10">
        <f t="shared" si="5"/>
        <v>0.10232131944714284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6">+D67</f>
        <v>0</v>
      </c>
      <c r="E66" s="18">
        <f t="shared" si="46"/>
        <v>0</v>
      </c>
      <c r="F66" s="18">
        <f t="shared" si="46"/>
        <v>200000000</v>
      </c>
      <c r="G66" s="18">
        <f t="shared" si="46"/>
        <v>0</v>
      </c>
      <c r="H66" s="18">
        <f t="shared" si="46"/>
        <v>0</v>
      </c>
      <c r="I66" s="18">
        <f t="shared" si="46"/>
        <v>200000000</v>
      </c>
      <c r="J66" s="18">
        <f t="shared" si="46"/>
        <v>0</v>
      </c>
      <c r="K66" s="18">
        <f t="shared" si="46"/>
        <v>0</v>
      </c>
      <c r="L66" s="18">
        <f t="shared" si="46"/>
        <v>0</v>
      </c>
      <c r="M66" s="18">
        <f t="shared" si="46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0</v>
      </c>
      <c r="I67" s="14">
        <v>200000000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7">SUM(D69:D71)</f>
        <v>0</v>
      </c>
      <c r="E68" s="18">
        <f t="shared" si="47"/>
        <v>0</v>
      </c>
      <c r="F68" s="18">
        <f t="shared" si="47"/>
        <v>1045900000</v>
      </c>
      <c r="G68" s="18">
        <f t="shared" si="47"/>
        <v>0</v>
      </c>
      <c r="H68" s="18">
        <f t="shared" si="47"/>
        <v>127601667</v>
      </c>
      <c r="I68" s="18">
        <f t="shared" si="47"/>
        <v>918298333</v>
      </c>
      <c r="J68" s="18">
        <f t="shared" si="47"/>
        <v>127601667</v>
      </c>
      <c r="K68" s="18">
        <f t="shared" si="47"/>
        <v>10620000</v>
      </c>
      <c r="L68" s="18">
        <f t="shared" si="47"/>
        <v>10620000</v>
      </c>
      <c r="M68" s="18">
        <f t="shared" si="47"/>
        <v>10620000</v>
      </c>
      <c r="N68" s="20">
        <f t="shared" si="4"/>
        <v>0.12200178506549383</v>
      </c>
      <c r="O68" s="20">
        <f t="shared" si="5"/>
        <v>1.0153934410555503E-2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10620000</v>
      </c>
      <c r="L69" s="13">
        <v>10620000</v>
      </c>
      <c r="M69" s="13">
        <v>10620000</v>
      </c>
      <c r="N69" s="15">
        <f t="shared" si="4"/>
        <v>0.6863994997310382</v>
      </c>
      <c r="O69" s="15">
        <f t="shared" si="5"/>
        <v>5.7127487896718669E-2</v>
      </c>
    </row>
    <row r="70" spans="1:15" ht="22.5" x14ac:dyDescent="0.25">
      <c r="A70" s="33" t="s">
        <v>161</v>
      </c>
      <c r="B70" s="12" t="s">
        <v>164</v>
      </c>
      <c r="C70" s="13">
        <v>120000000</v>
      </c>
      <c r="D70" s="13">
        <v>0</v>
      </c>
      <c r="E70" s="13">
        <v>0</v>
      </c>
      <c r="F70" s="14">
        <v>120000000</v>
      </c>
      <c r="G70" s="13">
        <v>0</v>
      </c>
      <c r="H70" s="13">
        <v>0</v>
      </c>
      <c r="I70" s="14">
        <v>120000000</v>
      </c>
      <c r="J70" s="13">
        <v>0</v>
      </c>
      <c r="K70" s="13">
        <v>0</v>
      </c>
      <c r="L70" s="13">
        <v>0</v>
      </c>
      <c r="M70" s="13">
        <v>0</v>
      </c>
      <c r="N70" s="15">
        <f t="shared" si="4"/>
        <v>0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0</v>
      </c>
      <c r="I71" s="14">
        <v>740000000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8">SUM(D73:D74)</f>
        <v>0</v>
      </c>
      <c r="E72" s="18">
        <f t="shared" si="48"/>
        <v>0</v>
      </c>
      <c r="F72" s="18">
        <f t="shared" si="48"/>
        <v>2825211185</v>
      </c>
      <c r="G72" s="18">
        <f t="shared" si="48"/>
        <v>0</v>
      </c>
      <c r="H72" s="18">
        <f t="shared" si="48"/>
        <v>1315540462.8099999</v>
      </c>
      <c r="I72" s="18">
        <f t="shared" si="48"/>
        <v>1509670722.1900001</v>
      </c>
      <c r="J72" s="18">
        <f t="shared" si="48"/>
        <v>1006771672.8099999</v>
      </c>
      <c r="K72" s="18">
        <f t="shared" si="48"/>
        <v>308567677.45999998</v>
      </c>
      <c r="L72" s="18">
        <f t="shared" si="48"/>
        <v>308567677.45999998</v>
      </c>
      <c r="M72" s="18">
        <f t="shared" si="48"/>
        <v>308567677.45999998</v>
      </c>
      <c r="N72" s="20">
        <f t="shared" si="4"/>
        <v>0.35635271379190719</v>
      </c>
      <c r="O72" s="20">
        <f t="shared" si="5"/>
        <v>0.10921933167272237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931540462.80999994</v>
      </c>
      <c r="I73" s="14">
        <v>968459537.19000006</v>
      </c>
      <c r="J73" s="13">
        <v>622780462.80999994</v>
      </c>
      <c r="K73" s="13">
        <v>308567677.45999998</v>
      </c>
      <c r="L73" s="13">
        <v>308567677.45999998</v>
      </c>
      <c r="M73" s="13">
        <v>308567677.45999998</v>
      </c>
      <c r="N73" s="15">
        <f t="shared" si="4"/>
        <v>0.32777919095263153</v>
      </c>
      <c r="O73" s="15">
        <f t="shared" si="5"/>
        <v>0.16240404076842105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384000000</v>
      </c>
      <c r="I74" s="14">
        <v>541211185</v>
      </c>
      <c r="J74" s="13">
        <v>383991210</v>
      </c>
      <c r="K74" s="13">
        <v>0</v>
      </c>
      <c r="L74" s="13">
        <v>0</v>
      </c>
      <c r="M74" s="13">
        <v>0</v>
      </c>
      <c r="N74" s="15">
        <f t="shared" si="4"/>
        <v>0.41503087751797985</v>
      </c>
      <c r="O74" s="15">
        <f t="shared" si="5"/>
        <v>0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9">SUM(D76:D79)</f>
        <v>0</v>
      </c>
      <c r="E75" s="18">
        <f t="shared" si="49"/>
        <v>0</v>
      </c>
      <c r="F75" s="18">
        <f t="shared" si="49"/>
        <v>2400000000</v>
      </c>
      <c r="G75" s="18">
        <f t="shared" si="49"/>
        <v>0</v>
      </c>
      <c r="H75" s="18">
        <f t="shared" si="49"/>
        <v>1574205315</v>
      </c>
      <c r="I75" s="18">
        <f t="shared" si="49"/>
        <v>825794685</v>
      </c>
      <c r="J75" s="18">
        <f t="shared" si="49"/>
        <v>1502205315</v>
      </c>
      <c r="K75" s="18">
        <f t="shared" si="49"/>
        <v>353778978.66999996</v>
      </c>
      <c r="L75" s="18">
        <f t="shared" si="49"/>
        <v>353778978.66999996</v>
      </c>
      <c r="M75" s="18">
        <f t="shared" si="49"/>
        <v>353778978.66999996</v>
      </c>
      <c r="N75" s="20">
        <f t="shared" si="4"/>
        <v>0.62591888124999995</v>
      </c>
      <c r="O75" s="20">
        <f t="shared" si="5"/>
        <v>0.14740790777916665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589882467</v>
      </c>
      <c r="I76" s="14">
        <v>357879533</v>
      </c>
      <c r="J76" s="13">
        <v>589882467</v>
      </c>
      <c r="K76" s="13">
        <v>217132999.66999999</v>
      </c>
      <c r="L76" s="13">
        <v>217132999.66999999</v>
      </c>
      <c r="M76" s="13">
        <v>217132999.66999999</v>
      </c>
      <c r="N76" s="15">
        <f t="shared" si="4"/>
        <v>0.62239514456160938</v>
      </c>
      <c r="O76" s="15">
        <f t="shared" si="5"/>
        <v>0.22910076545588448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342642811</v>
      </c>
      <c r="I77" s="14">
        <v>57357189</v>
      </c>
      <c r="J77" s="13">
        <v>329642811</v>
      </c>
      <c r="K77" s="13">
        <v>86379312</v>
      </c>
      <c r="L77" s="13">
        <v>86379312</v>
      </c>
      <c r="M77" s="13">
        <v>86379312</v>
      </c>
      <c r="N77" s="15">
        <f t="shared" si="4"/>
        <v>0.82410702749999998</v>
      </c>
      <c r="O77" s="15">
        <f t="shared" si="5"/>
        <v>0.21594827999999999</v>
      </c>
    </row>
    <row r="78" spans="1:15" ht="33.75" x14ac:dyDescent="0.25">
      <c r="A78" s="33" t="s">
        <v>152</v>
      </c>
      <c r="B78" s="12" t="s">
        <v>156</v>
      </c>
      <c r="C78" s="13">
        <v>201220000</v>
      </c>
      <c r="D78" s="13">
        <v>0</v>
      </c>
      <c r="E78" s="13">
        <v>0</v>
      </c>
      <c r="F78" s="14">
        <v>201220000</v>
      </c>
      <c r="G78" s="13">
        <v>0</v>
      </c>
      <c r="H78" s="13">
        <v>67200000</v>
      </c>
      <c r="I78" s="14">
        <v>134020000</v>
      </c>
      <c r="J78" s="13">
        <v>67200000</v>
      </c>
      <c r="K78" s="13">
        <v>21866667</v>
      </c>
      <c r="L78" s="13">
        <v>21866667</v>
      </c>
      <c r="M78" s="13">
        <v>21866667</v>
      </c>
      <c r="N78" s="15">
        <f t="shared" si="4"/>
        <v>0.33396282675678363</v>
      </c>
      <c r="O78" s="15">
        <f t="shared" si="5"/>
        <v>0.10867044528376901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574480037</v>
      </c>
      <c r="I79" s="14">
        <v>276537963</v>
      </c>
      <c r="J79" s="13">
        <v>515480037</v>
      </c>
      <c r="K79" s="13">
        <v>28400000</v>
      </c>
      <c r="L79" s="13">
        <v>28400000</v>
      </c>
      <c r="M79" s="13">
        <v>28400000</v>
      </c>
      <c r="N79" s="15">
        <f t="shared" si="4"/>
        <v>0.60572166158647645</v>
      </c>
      <c r="O79" s="15">
        <f t="shared" si="5"/>
        <v>3.3371797071272288E-2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50">SUM(D81:D82)</f>
        <v>0</v>
      </c>
      <c r="E80" s="18">
        <f t="shared" si="50"/>
        <v>0</v>
      </c>
      <c r="F80" s="18">
        <f t="shared" si="50"/>
        <v>200000000</v>
      </c>
      <c r="G80" s="18">
        <f t="shared" si="50"/>
        <v>0</v>
      </c>
      <c r="H80" s="18">
        <f t="shared" si="50"/>
        <v>80000000</v>
      </c>
      <c r="I80" s="18">
        <f t="shared" si="50"/>
        <v>120000000</v>
      </c>
      <c r="J80" s="18">
        <f t="shared" si="50"/>
        <v>80000000</v>
      </c>
      <c r="K80" s="18">
        <f t="shared" si="50"/>
        <v>0</v>
      </c>
      <c r="L80" s="18">
        <f t="shared" si="50"/>
        <v>0</v>
      </c>
      <c r="M80" s="18">
        <f t="shared" si="50"/>
        <v>0</v>
      </c>
      <c r="N80" s="20">
        <f t="shared" si="4"/>
        <v>0.4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0</v>
      </c>
      <c r="L81" s="13">
        <v>0</v>
      </c>
      <c r="M81" s="13">
        <v>0</v>
      </c>
      <c r="N81" s="15">
        <f>+J81/F81</f>
        <v>1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0</v>
      </c>
      <c r="I82" s="14">
        <v>120000000</v>
      </c>
      <c r="J82" s="13">
        <v>0</v>
      </c>
      <c r="K82" s="13">
        <v>0</v>
      </c>
      <c r="L82" s="13">
        <v>0</v>
      </c>
      <c r="M82" s="13">
        <v>0</v>
      </c>
      <c r="N82" s="15">
        <f>+J82/F82</f>
        <v>0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51">SUM(D84:D85)</f>
        <v>0</v>
      </c>
      <c r="E83" s="18">
        <f t="shared" si="51"/>
        <v>0</v>
      </c>
      <c r="F83" s="18">
        <f t="shared" si="51"/>
        <v>328888815</v>
      </c>
      <c r="G83" s="18">
        <f t="shared" si="51"/>
        <v>0</v>
      </c>
      <c r="H83" s="18">
        <f t="shared" si="51"/>
        <v>160305852</v>
      </c>
      <c r="I83" s="18">
        <f t="shared" si="51"/>
        <v>168582963</v>
      </c>
      <c r="J83" s="18">
        <f t="shared" si="51"/>
        <v>160305852</v>
      </c>
      <c r="K83" s="18">
        <f t="shared" si="51"/>
        <v>43282580</v>
      </c>
      <c r="L83" s="18">
        <f t="shared" si="51"/>
        <v>43282580</v>
      </c>
      <c r="M83" s="18">
        <f t="shared" si="51"/>
        <v>43282580</v>
      </c>
      <c r="N83" s="20">
        <f t="shared" si="4"/>
        <v>0.48741655139594819</v>
      </c>
      <c r="O83" s="20">
        <f t="shared" si="5"/>
        <v>0.13160246875528436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160305852</v>
      </c>
      <c r="I84" s="14">
        <v>133894629</v>
      </c>
      <c r="J84" s="13">
        <v>160305852</v>
      </c>
      <c r="K84" s="13">
        <v>43282580</v>
      </c>
      <c r="L84" s="13">
        <v>43282580</v>
      </c>
      <c r="M84" s="13">
        <v>43282580</v>
      </c>
      <c r="N84" s="15">
        <f t="shared" si="4"/>
        <v>0.54488643749022292</v>
      </c>
      <c r="O84" s="15">
        <f t="shared" si="5"/>
        <v>0.14711933798639845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0</v>
      </c>
      <c r="I85" s="14">
        <v>34688334</v>
      </c>
      <c r="J85" s="13">
        <v>0</v>
      </c>
      <c r="K85" s="13">
        <v>0</v>
      </c>
      <c r="L85" s="13">
        <v>0</v>
      </c>
      <c r="M85" s="13">
        <v>0</v>
      </c>
      <c r="N85" s="15">
        <f t="shared" si="4"/>
        <v>0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2">+C5+C65</f>
        <v>36191962728</v>
      </c>
      <c r="D86" s="8">
        <f t="shared" si="52"/>
        <v>1641001340</v>
      </c>
      <c r="E86" s="8">
        <f t="shared" si="52"/>
        <v>1641001340</v>
      </c>
      <c r="F86" s="8">
        <f t="shared" si="52"/>
        <v>36191962728</v>
      </c>
      <c r="G86" s="8">
        <f t="shared" si="52"/>
        <v>2435000000</v>
      </c>
      <c r="H86" s="8">
        <f t="shared" si="52"/>
        <v>27504554883.82</v>
      </c>
      <c r="I86" s="8">
        <f t="shared" si="52"/>
        <v>6252407844.1800003</v>
      </c>
      <c r="J86" s="8">
        <f t="shared" si="52"/>
        <v>19545521219.259998</v>
      </c>
      <c r="K86" s="8">
        <f t="shared" si="52"/>
        <v>15097351689.719999</v>
      </c>
      <c r="L86" s="8">
        <f t="shared" si="52"/>
        <v>15097351689.719999</v>
      </c>
      <c r="M86" s="8">
        <f t="shared" si="52"/>
        <v>15097351689.719999</v>
      </c>
      <c r="N86" s="9">
        <f t="shared" si="4"/>
        <v>0.5400514298203164</v>
      </c>
      <c r="O86" s="10">
        <f t="shared" si="5"/>
        <v>0.41714653065886081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87"/>
  <sheetViews>
    <sheetView showGridLines="0" workbookViewId="0">
      <pane xSplit="1" ySplit="4" topLeftCell="B78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1879001340</v>
      </c>
      <c r="E5" s="7">
        <f t="shared" si="0"/>
        <v>1879001340</v>
      </c>
      <c r="F5" s="7">
        <f t="shared" si="0"/>
        <v>29191962728</v>
      </c>
      <c r="G5" s="7">
        <f t="shared" si="0"/>
        <v>2435000000</v>
      </c>
      <c r="H5" s="7">
        <f t="shared" si="0"/>
        <v>24351454582.860001</v>
      </c>
      <c r="I5" s="7">
        <f t="shared" si="0"/>
        <v>2405508145.1400003</v>
      </c>
      <c r="J5" s="7">
        <f t="shared" si="0"/>
        <v>18073827088.559998</v>
      </c>
      <c r="K5" s="7">
        <f t="shared" si="0"/>
        <v>16046868862.4</v>
      </c>
      <c r="L5" s="7">
        <f t="shared" si="0"/>
        <v>16043459321.4</v>
      </c>
      <c r="M5" s="7">
        <f t="shared" si="0"/>
        <v>16040879321.4</v>
      </c>
      <c r="N5" s="9">
        <f>+J5/F5</f>
        <v>0.61913709800760186</v>
      </c>
      <c r="O5" s="10">
        <f>+K5/F5</f>
        <v>0.54970160834743576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573504000</v>
      </c>
      <c r="E6" s="7">
        <f>+E7+E36+E37</f>
        <v>573504000</v>
      </c>
      <c r="F6" s="7">
        <f t="shared" ref="F6:L6" si="1">+F7+F36+F37</f>
        <v>15579189000</v>
      </c>
      <c r="G6" s="7">
        <f t="shared" si="1"/>
        <v>0</v>
      </c>
      <c r="H6" s="7">
        <f t="shared" si="1"/>
        <v>15152685000</v>
      </c>
      <c r="I6" s="7">
        <f t="shared" si="1"/>
        <v>426504000</v>
      </c>
      <c r="J6" s="7">
        <f t="shared" si="1"/>
        <v>9093427741</v>
      </c>
      <c r="K6" s="7">
        <f t="shared" si="1"/>
        <v>9093298720</v>
      </c>
      <c r="L6" s="7">
        <f t="shared" si="1"/>
        <v>9093298720</v>
      </c>
      <c r="M6" s="7">
        <f>+M7+M36+M37</f>
        <v>9093298720</v>
      </c>
      <c r="N6" s="9">
        <f>+J6/F6</f>
        <v>0.58369070052362804</v>
      </c>
      <c r="O6" s="10">
        <f>+K6/F6</f>
        <v>0.58368241889869876</v>
      </c>
      <c r="P6" s="21"/>
      <c r="Q6" s="21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147000000</v>
      </c>
      <c r="E7" s="18">
        <f>+E8+E20+E30</f>
        <v>147000000</v>
      </c>
      <c r="F7" s="19">
        <f t="shared" ref="F7:F30" si="2">+C7+D7-E7</f>
        <v>15152685000</v>
      </c>
      <c r="G7" s="18">
        <f>+G8+G20+G30</f>
        <v>0</v>
      </c>
      <c r="H7" s="18">
        <f>+H8+H20+H30</f>
        <v>15152685000</v>
      </c>
      <c r="I7" s="19">
        <f>+F7-G7-H7</f>
        <v>0</v>
      </c>
      <c r="J7" s="18">
        <f>+J8+J20+J30</f>
        <v>9093427741</v>
      </c>
      <c r="K7" s="18">
        <f>+K8+K20+K30</f>
        <v>9093298720</v>
      </c>
      <c r="L7" s="18">
        <f>+L8+L20+L30</f>
        <v>9093298720</v>
      </c>
      <c r="M7" s="18">
        <f>+M8+M20+M30</f>
        <v>9093298720</v>
      </c>
      <c r="N7" s="20">
        <f>+J7/F7</f>
        <v>0.60011989564885693</v>
      </c>
      <c r="O7" s="20">
        <f>+K7/F7</f>
        <v>0.60011138092027916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0</v>
      </c>
      <c r="F8" s="19">
        <f t="shared" si="2"/>
        <v>10483261000</v>
      </c>
      <c r="G8" s="18">
        <f>+G9</f>
        <v>0</v>
      </c>
      <c r="H8" s="18">
        <f>+H9</f>
        <v>10483261000</v>
      </c>
      <c r="I8" s="19">
        <f t="shared" ref="I8:I9" si="3">+F8-G8-H8</f>
        <v>0</v>
      </c>
      <c r="J8" s="18">
        <f>+J9</f>
        <v>6198490507</v>
      </c>
      <c r="K8" s="18">
        <f>+K9</f>
        <v>6198401749</v>
      </c>
      <c r="L8" s="18">
        <f>+L9</f>
        <v>6198401749</v>
      </c>
      <c r="M8" s="18">
        <f>+M9</f>
        <v>6198401749</v>
      </c>
      <c r="N8" s="20">
        <f t="shared" ref="N8:N86" si="4">+J8/F8</f>
        <v>0.59127503426653216</v>
      </c>
      <c r="O8" s="20">
        <f t="shared" ref="O8:O86" si="5">+K8/F8</f>
        <v>0.59126656762623764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0</v>
      </c>
      <c r="F9" s="19">
        <f t="shared" si="2"/>
        <v>10483261000</v>
      </c>
      <c r="G9" s="18">
        <f>SUM(G10:G19)</f>
        <v>0</v>
      </c>
      <c r="H9" s="18">
        <f>SUM(H10:H19)</f>
        <v>10483261000</v>
      </c>
      <c r="I9" s="19">
        <f t="shared" si="3"/>
        <v>0</v>
      </c>
      <c r="J9" s="18">
        <f>SUM(J10:J19)</f>
        <v>6198490507</v>
      </c>
      <c r="K9" s="18">
        <f>SUM(K10:K19)</f>
        <v>6198401749</v>
      </c>
      <c r="L9" s="18">
        <f>SUM(L10:L19)</f>
        <v>6198401749</v>
      </c>
      <c r="M9" s="18">
        <f>SUM(M10:M19)</f>
        <v>6198401749</v>
      </c>
      <c r="N9" s="20">
        <f t="shared" si="4"/>
        <v>0.59127503426653216</v>
      </c>
      <c r="O9" s="20">
        <f t="shared" si="5"/>
        <v>0.59126656762623764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5118471598</v>
      </c>
      <c r="K10" s="13">
        <v>5118471598</v>
      </c>
      <c r="L10" s="13">
        <v>5118471598</v>
      </c>
      <c r="M10" s="13">
        <v>5118471598</v>
      </c>
      <c r="N10" s="15">
        <f t="shared" si="4"/>
        <v>0.66794618269607209</v>
      </c>
      <c r="O10" s="15">
        <f t="shared" si="5"/>
        <v>0.66794618269607209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47163304</v>
      </c>
      <c r="K11" s="13">
        <v>47163304</v>
      </c>
      <c r="L11" s="13">
        <v>47163304</v>
      </c>
      <c r="M11" s="13">
        <v>47163304</v>
      </c>
      <c r="N11" s="15">
        <f t="shared" si="4"/>
        <v>0.64607265753424659</v>
      </c>
      <c r="O11" s="15">
        <f t="shared" si="5"/>
        <v>0.64607265753424659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0</v>
      </c>
      <c r="F12" s="14">
        <v>640000000</v>
      </c>
      <c r="G12" s="13">
        <v>0</v>
      </c>
      <c r="H12" s="13">
        <v>640000000</v>
      </c>
      <c r="I12" s="14">
        <v>0</v>
      </c>
      <c r="J12" s="13">
        <v>305996064</v>
      </c>
      <c r="K12" s="13">
        <v>305996064</v>
      </c>
      <c r="L12" s="13">
        <v>305996064</v>
      </c>
      <c r="M12" s="13">
        <v>305996064</v>
      </c>
      <c r="N12" s="15">
        <f t="shared" si="4"/>
        <v>0.47811884999999998</v>
      </c>
      <c r="O12" s="15">
        <f t="shared" si="5"/>
        <v>0.47811884999999998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8687640</v>
      </c>
      <c r="K13" s="13">
        <v>8687640</v>
      </c>
      <c r="L13" s="13">
        <v>8687640</v>
      </c>
      <c r="M13" s="13">
        <v>8687640</v>
      </c>
      <c r="N13" s="15">
        <f t="shared" si="4"/>
        <v>0.62054571428571426</v>
      </c>
      <c r="O13" s="15">
        <f t="shared" si="5"/>
        <v>0.62054571428571426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162113343</v>
      </c>
      <c r="K16" s="13">
        <v>162113343</v>
      </c>
      <c r="L16" s="13">
        <v>162113343</v>
      </c>
      <c r="M16" s="13">
        <v>162113343</v>
      </c>
      <c r="N16" s="15">
        <f t="shared" si="4"/>
        <v>0.5648548536585366</v>
      </c>
      <c r="O16" s="15">
        <f t="shared" si="5"/>
        <v>0.5648548536585366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30413928</v>
      </c>
      <c r="K17" s="13">
        <v>30413928</v>
      </c>
      <c r="L17" s="13">
        <v>30413928</v>
      </c>
      <c r="M17" s="13">
        <v>30413928</v>
      </c>
      <c r="N17" s="15">
        <f t="shared" si="4"/>
        <v>0.50689879999999998</v>
      </c>
      <c r="O17" s="15">
        <f t="shared" si="5"/>
        <v>0.50689879999999998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0</v>
      </c>
      <c r="F18" s="14">
        <v>850000000</v>
      </c>
      <c r="G18" s="13">
        <v>0</v>
      </c>
      <c r="H18" s="13">
        <v>850000000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7.4148105882352938E-3</v>
      </c>
      <c r="O18" s="15">
        <f t="shared" si="5"/>
        <v>7.4148105882352938E-3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172766806</v>
      </c>
      <c r="K19" s="13">
        <v>172738048</v>
      </c>
      <c r="L19" s="13">
        <v>172738048</v>
      </c>
      <c r="M19" s="13">
        <v>172738048</v>
      </c>
      <c r="N19" s="15">
        <f t="shared" si="4"/>
        <v>0.35456727708558655</v>
      </c>
      <c r="O19" s="15">
        <f t="shared" si="5"/>
        <v>0.3545082573815676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0</v>
      </c>
      <c r="F20" s="19">
        <f t="shared" si="2"/>
        <v>3970666000</v>
      </c>
      <c r="G20" s="18">
        <f t="shared" ref="G20:H20" si="7">SUM(G21:G29)</f>
        <v>0</v>
      </c>
      <c r="H20" s="18">
        <f t="shared" si="7"/>
        <v>3970666000</v>
      </c>
      <c r="I20" s="19">
        <f>+F20-G20-H20</f>
        <v>0</v>
      </c>
      <c r="J20" s="18">
        <f t="shared" ref="J20" si="8">SUM(J21:J29)</f>
        <v>2330598124</v>
      </c>
      <c r="K20" s="18">
        <f t="shared" ref="K20:M20" si="9">SUM(K21:K29)</f>
        <v>2330598124</v>
      </c>
      <c r="L20" s="18">
        <f t="shared" si="9"/>
        <v>2330598124</v>
      </c>
      <c r="M20" s="18">
        <f t="shared" si="9"/>
        <v>2330598124</v>
      </c>
      <c r="N20" s="20">
        <f t="shared" si="4"/>
        <v>0.58695395784989224</v>
      </c>
      <c r="O20" s="20">
        <f t="shared" si="5"/>
        <v>0.58695395784989224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0</v>
      </c>
      <c r="F21" s="14">
        <v>1200666000</v>
      </c>
      <c r="G21" s="13">
        <v>0</v>
      </c>
      <c r="H21" s="13">
        <v>1200666000</v>
      </c>
      <c r="I21" s="14">
        <v>0</v>
      </c>
      <c r="J21" s="13">
        <v>706018095</v>
      </c>
      <c r="K21" s="13">
        <v>706018095</v>
      </c>
      <c r="L21" s="13">
        <v>706018095</v>
      </c>
      <c r="M21" s="13">
        <v>706018095</v>
      </c>
      <c r="N21" s="15">
        <f t="shared" si="4"/>
        <v>0.58802206025655757</v>
      </c>
      <c r="O21" s="15">
        <f t="shared" si="5"/>
        <v>0.58802206025655757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500109772</v>
      </c>
      <c r="K22" s="13">
        <v>500109772</v>
      </c>
      <c r="L22" s="13">
        <v>500109772</v>
      </c>
      <c r="M22" s="13">
        <v>500109772</v>
      </c>
      <c r="N22" s="15">
        <f t="shared" si="4"/>
        <v>0.64116637435897439</v>
      </c>
      <c r="O22" s="15">
        <f t="shared" si="5"/>
        <v>0.64116637435897439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0</v>
      </c>
      <c r="F23" s="14">
        <v>920000000</v>
      </c>
      <c r="G23" s="13">
        <v>0</v>
      </c>
      <c r="H23" s="13">
        <v>920000000</v>
      </c>
      <c r="I23" s="14">
        <v>0</v>
      </c>
      <c r="J23" s="13">
        <v>534128857</v>
      </c>
      <c r="K23" s="13">
        <v>534128857</v>
      </c>
      <c r="L23" s="13">
        <v>534128857</v>
      </c>
      <c r="M23" s="13">
        <v>534128857</v>
      </c>
      <c r="N23" s="15">
        <f t="shared" si="4"/>
        <v>0.58057484456521735</v>
      </c>
      <c r="O23" s="15">
        <f t="shared" si="5"/>
        <v>0.58057484456521735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0</v>
      </c>
      <c r="F24" s="14">
        <v>420000000</v>
      </c>
      <c r="G24" s="13">
        <v>0</v>
      </c>
      <c r="H24" s="13">
        <v>420000000</v>
      </c>
      <c r="I24" s="14">
        <v>0</v>
      </c>
      <c r="J24" s="13">
        <v>247776800</v>
      </c>
      <c r="K24" s="13">
        <v>247776800</v>
      </c>
      <c r="L24" s="13">
        <v>247776800</v>
      </c>
      <c r="M24" s="13">
        <v>247776800</v>
      </c>
      <c r="N24" s="15">
        <f t="shared" si="4"/>
        <v>0.58994476190476186</v>
      </c>
      <c r="O24" s="15">
        <f t="shared" si="5"/>
        <v>0.58994476190476186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32677600</v>
      </c>
      <c r="K25" s="13">
        <v>32677600</v>
      </c>
      <c r="L25" s="13">
        <v>32677600</v>
      </c>
      <c r="M25" s="13">
        <v>32677600</v>
      </c>
      <c r="N25" s="15">
        <f t="shared" si="4"/>
        <v>0.46682285714285715</v>
      </c>
      <c r="O25" s="15">
        <f t="shared" si="5"/>
        <v>0.46682285714285715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0</v>
      </c>
      <c r="F26" s="14">
        <v>320000000</v>
      </c>
      <c r="G26" s="13">
        <v>0</v>
      </c>
      <c r="H26" s="13">
        <v>320000000</v>
      </c>
      <c r="I26" s="14">
        <v>0</v>
      </c>
      <c r="J26" s="13">
        <v>185835000</v>
      </c>
      <c r="K26" s="13">
        <v>185835000</v>
      </c>
      <c r="L26" s="13">
        <v>185835000</v>
      </c>
      <c r="M26" s="13">
        <v>185835000</v>
      </c>
      <c r="N26" s="15">
        <f t="shared" si="4"/>
        <v>0.58073437500000002</v>
      </c>
      <c r="O26" s="15">
        <f t="shared" si="5"/>
        <v>0.58073437500000002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31028600</v>
      </c>
      <c r="K27" s="13">
        <v>31028600</v>
      </c>
      <c r="L27" s="13">
        <v>31028600</v>
      </c>
      <c r="M27" s="13">
        <v>31028600</v>
      </c>
      <c r="N27" s="15">
        <f t="shared" si="4"/>
        <v>0.44326571428571426</v>
      </c>
      <c r="O27" s="15">
        <f t="shared" si="5"/>
        <v>0.44326571428571426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31028600</v>
      </c>
      <c r="K28" s="13">
        <v>31028600</v>
      </c>
      <c r="L28" s="13">
        <v>31028600</v>
      </c>
      <c r="M28" s="13">
        <v>31028600</v>
      </c>
      <c r="N28" s="15">
        <f t="shared" si="4"/>
        <v>0.44326571428571426</v>
      </c>
      <c r="O28" s="15">
        <f t="shared" si="5"/>
        <v>0.44326571428571426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61994800</v>
      </c>
      <c r="K29" s="13">
        <v>61994800</v>
      </c>
      <c r="L29" s="13">
        <v>61994800</v>
      </c>
      <c r="M29" s="13">
        <v>61994800</v>
      </c>
      <c r="N29" s="15">
        <f t="shared" si="4"/>
        <v>0.51662333333333332</v>
      </c>
      <c r="O29" s="15">
        <f t="shared" si="5"/>
        <v>0.51662333333333332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147000000</v>
      </c>
      <c r="E30" s="18">
        <f t="shared" si="10"/>
        <v>147000000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564339110</v>
      </c>
      <c r="K30" s="18">
        <f t="shared" ref="K30:M30" si="13">SUM(K31:K35)</f>
        <v>564298847</v>
      </c>
      <c r="L30" s="18">
        <f t="shared" si="13"/>
        <v>564298847</v>
      </c>
      <c r="M30" s="18">
        <f t="shared" si="13"/>
        <v>564298847</v>
      </c>
      <c r="N30" s="20">
        <f t="shared" si="4"/>
        <v>0.80763169795551537</v>
      </c>
      <c r="O30" s="20">
        <f t="shared" si="5"/>
        <v>0.80757407714831175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0</v>
      </c>
      <c r="E31" s="13">
        <v>44000000</v>
      </c>
      <c r="F31" s="14">
        <v>250262800</v>
      </c>
      <c r="G31" s="13">
        <v>0</v>
      </c>
      <c r="H31" s="13">
        <v>250262800</v>
      </c>
      <c r="I31" s="14">
        <v>0</v>
      </c>
      <c r="J31" s="13">
        <v>215408228</v>
      </c>
      <c r="K31" s="13">
        <v>215367965</v>
      </c>
      <c r="L31" s="13">
        <v>215367965</v>
      </c>
      <c r="M31" s="13">
        <v>215367965</v>
      </c>
      <c r="N31" s="15">
        <f t="shared" si="4"/>
        <v>0.86072811460592624</v>
      </c>
      <c r="O31" s="15">
        <f t="shared" si="5"/>
        <v>0.86056723172600957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27000000</v>
      </c>
      <c r="E32" s="13">
        <v>8000000</v>
      </c>
      <c r="F32" s="14">
        <v>79000000</v>
      </c>
      <c r="G32" s="13">
        <v>0</v>
      </c>
      <c r="H32" s="13">
        <v>79000000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0.9869834683544304</v>
      </c>
      <c r="O32" s="15">
        <f t="shared" si="5"/>
        <v>0.9869834683544304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20247192</v>
      </c>
      <c r="K33" s="13">
        <v>20247192</v>
      </c>
      <c r="L33" s="13">
        <v>20247192</v>
      </c>
      <c r="M33" s="13">
        <v>20247192</v>
      </c>
      <c r="N33" s="15">
        <f t="shared" si="4"/>
        <v>0.7349573121152283</v>
      </c>
      <c r="O33" s="15">
        <f t="shared" si="5"/>
        <v>0.7349573121152283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0</v>
      </c>
      <c r="F34" s="14">
        <v>273946400</v>
      </c>
      <c r="G34" s="13">
        <v>0</v>
      </c>
      <c r="H34" s="13">
        <v>273946400</v>
      </c>
      <c r="I34" s="14">
        <v>0</v>
      </c>
      <c r="J34" s="13">
        <v>202585141</v>
      </c>
      <c r="K34" s="13">
        <v>202585141</v>
      </c>
      <c r="L34" s="13">
        <v>202585141</v>
      </c>
      <c r="M34" s="13">
        <v>202585141</v>
      </c>
      <c r="N34" s="15">
        <f t="shared" si="4"/>
        <v>0.73950649105080413</v>
      </c>
      <c r="O34" s="15">
        <f t="shared" si="5"/>
        <v>0.73950649105080413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75000000</v>
      </c>
      <c r="F35" s="14">
        <v>68000000</v>
      </c>
      <c r="G35" s="13">
        <v>0</v>
      </c>
      <c r="H35" s="13">
        <v>68000000</v>
      </c>
      <c r="I35" s="14">
        <v>0</v>
      </c>
      <c r="J35" s="13">
        <v>48126855</v>
      </c>
      <c r="K35" s="13">
        <v>48126855</v>
      </c>
      <c r="L35" s="13">
        <v>48126855</v>
      </c>
      <c r="M35" s="13">
        <v>48126855</v>
      </c>
      <c r="N35" s="15">
        <f t="shared" si="4"/>
        <v>0.70774786764705877</v>
      </c>
      <c r="O35" s="15">
        <f t="shared" si="5"/>
        <v>0.70774786764705877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1188000000</v>
      </c>
      <c r="E38" s="8">
        <f t="shared" si="14"/>
        <v>1190058000</v>
      </c>
      <c r="F38" s="8">
        <f t="shared" si="14"/>
        <v>9895695728</v>
      </c>
      <c r="G38" s="8">
        <f t="shared" si="14"/>
        <v>0</v>
      </c>
      <c r="H38" s="8">
        <f t="shared" si="14"/>
        <v>9086151582.8599987</v>
      </c>
      <c r="I38" s="8">
        <f t="shared" si="14"/>
        <v>809544145.14000058</v>
      </c>
      <c r="J38" s="8">
        <f t="shared" si="14"/>
        <v>8917585168.5599995</v>
      </c>
      <c r="K38" s="8">
        <f t="shared" si="14"/>
        <v>6890760472.3999996</v>
      </c>
      <c r="L38" s="8">
        <f t="shared" si="14"/>
        <v>6887350931.3999996</v>
      </c>
      <c r="M38" s="8">
        <f t="shared" si="14"/>
        <v>6884770931.3999996</v>
      </c>
      <c r="N38" s="9">
        <f t="shared" si="4"/>
        <v>0.90115797955747323</v>
      </c>
      <c r="O38" s="10">
        <f t="shared" si="5"/>
        <v>0.69633916217760239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5572436</v>
      </c>
      <c r="L39" s="18">
        <f t="shared" si="19"/>
        <v>5572436</v>
      </c>
      <c r="M39" s="18">
        <f t="shared" si="19"/>
        <v>5572436</v>
      </c>
      <c r="N39" s="20">
        <f t="shared" si="4"/>
        <v>0.60097869221164113</v>
      </c>
      <c r="O39" s="20">
        <f t="shared" si="5"/>
        <v>4.1916294323840475E-2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5572436</v>
      </c>
      <c r="L40" s="18">
        <f t="shared" si="22"/>
        <v>5572436</v>
      </c>
      <c r="M40" s="18">
        <f t="shared" si="22"/>
        <v>5572436</v>
      </c>
      <c r="N40" s="20">
        <f t="shared" si="4"/>
        <v>0.60097869221164113</v>
      </c>
      <c r="O40" s="20">
        <f t="shared" si="5"/>
        <v>4.1916294323840475E-2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2380000</v>
      </c>
      <c r="L41" s="13">
        <v>2380000</v>
      </c>
      <c r="M41" s="13">
        <v>2380000</v>
      </c>
      <c r="N41" s="15">
        <f t="shared" si="4"/>
        <v>9.8375000000000004E-2</v>
      </c>
      <c r="O41" s="15">
        <f t="shared" si="5"/>
        <v>5.9499999999999997E-2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3192436</v>
      </c>
      <c r="L42" s="13">
        <v>3192436</v>
      </c>
      <c r="M42" s="13">
        <v>3192436</v>
      </c>
      <c r="N42" s="15">
        <f t="shared" si="4"/>
        <v>0.81728722536635745</v>
      </c>
      <c r="O42" s="15">
        <f t="shared" si="5"/>
        <v>3.4348690581222696E-2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1188000000</v>
      </c>
      <c r="E43" s="18">
        <f t="shared" si="23"/>
        <v>1188000000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9006256273.5599995</v>
      </c>
      <c r="I43" s="19">
        <f t="shared" si="18"/>
        <v>756497454.44000053</v>
      </c>
      <c r="J43" s="18">
        <f t="shared" ref="J43:M43" si="25">+J44+J48</f>
        <v>8837689859.2600002</v>
      </c>
      <c r="K43" s="18">
        <f t="shared" si="25"/>
        <v>6885188036.3999996</v>
      </c>
      <c r="L43" s="18">
        <f t="shared" si="25"/>
        <v>6881778495.3999996</v>
      </c>
      <c r="M43" s="18">
        <f t="shared" si="25"/>
        <v>6879198495.3999996</v>
      </c>
      <c r="N43" s="20">
        <f t="shared" si="4"/>
        <v>0.9052456003179844</v>
      </c>
      <c r="O43" s="20">
        <f t="shared" si="5"/>
        <v>0.7052506114799334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49000000</v>
      </c>
      <c r="E44" s="18">
        <f t="shared" si="26"/>
        <v>0</v>
      </c>
      <c r="F44" s="19">
        <f>+C44+D44-E44</f>
        <v>141000000</v>
      </c>
      <c r="G44" s="18">
        <f t="shared" si="26"/>
        <v>0</v>
      </c>
      <c r="H44" s="18">
        <f t="shared" si="26"/>
        <v>119641270.06999999</v>
      </c>
      <c r="I44" s="19">
        <f t="shared" si="18"/>
        <v>21358729.930000007</v>
      </c>
      <c r="J44" s="18">
        <f t="shared" ref="J44" si="27">SUM(J45:J47)</f>
        <v>85635315</v>
      </c>
      <c r="K44" s="18">
        <f t="shared" ref="K44:M44" si="28">SUM(K45:K47)</f>
        <v>58618154</v>
      </c>
      <c r="L44" s="18">
        <f t="shared" si="28"/>
        <v>56649418</v>
      </c>
      <c r="M44" s="18">
        <f t="shared" si="28"/>
        <v>56649418</v>
      </c>
      <c r="N44" s="20">
        <f t="shared" si="4"/>
        <v>0.60734265957446809</v>
      </c>
      <c r="O44" s="20">
        <f t="shared" si="5"/>
        <v>0.41573158865248228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16578124</v>
      </c>
      <c r="I45" s="14">
        <v>11421876</v>
      </c>
      <c r="J45" s="13">
        <v>443890</v>
      </c>
      <c r="K45" s="13">
        <v>443890</v>
      </c>
      <c r="L45" s="13">
        <v>443890</v>
      </c>
      <c r="M45" s="13">
        <v>443890</v>
      </c>
      <c r="N45" s="15">
        <f t="shared" si="4"/>
        <v>1.5853214285714286E-2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12000000</v>
      </c>
      <c r="E46" s="13">
        <v>0</v>
      </c>
      <c r="F46" s="14">
        <v>57000000</v>
      </c>
      <c r="G46" s="13">
        <v>0</v>
      </c>
      <c r="H46" s="13">
        <v>52716325</v>
      </c>
      <c r="I46" s="14">
        <v>4283675</v>
      </c>
      <c r="J46" s="13">
        <v>52716325</v>
      </c>
      <c r="K46" s="13">
        <v>30905414</v>
      </c>
      <c r="L46" s="13">
        <v>28936678</v>
      </c>
      <c r="M46" s="13">
        <v>28936678</v>
      </c>
      <c r="N46" s="15">
        <f t="shared" si="4"/>
        <v>0.92484780701754388</v>
      </c>
      <c r="O46" s="15">
        <f t="shared" si="5"/>
        <v>0.54220024561403513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24000000</v>
      </c>
      <c r="E47" s="13">
        <v>0</v>
      </c>
      <c r="F47" s="14">
        <v>56000000</v>
      </c>
      <c r="G47" s="13">
        <v>0</v>
      </c>
      <c r="H47" s="13">
        <v>50346821.07</v>
      </c>
      <c r="I47" s="14">
        <v>5653178.9299999997</v>
      </c>
      <c r="J47" s="13">
        <v>32475100</v>
      </c>
      <c r="K47" s="13">
        <v>27268850</v>
      </c>
      <c r="L47" s="13">
        <v>27268850</v>
      </c>
      <c r="M47" s="13">
        <v>27268850</v>
      </c>
      <c r="N47" s="15">
        <f t="shared" si="4"/>
        <v>0.57991250000000005</v>
      </c>
      <c r="O47" s="15">
        <f t="shared" si="5"/>
        <v>0.48694375000000001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1139000000</v>
      </c>
      <c r="E48" s="18">
        <f t="shared" si="29"/>
        <v>1188000000</v>
      </c>
      <c r="F48" s="19">
        <f t="shared" si="16"/>
        <v>9621753728</v>
      </c>
      <c r="G48" s="18">
        <f t="shared" ref="G48:H48" si="30">SUM(G49:G53)</f>
        <v>0</v>
      </c>
      <c r="H48" s="18">
        <f t="shared" si="30"/>
        <v>8886615003.4899998</v>
      </c>
      <c r="I48" s="19">
        <f t="shared" si="18"/>
        <v>735138724.51000023</v>
      </c>
      <c r="J48" s="18">
        <f t="shared" ref="J48:M48" si="31">SUM(J49:J53)</f>
        <v>8752054544.2600002</v>
      </c>
      <c r="K48" s="18">
        <f t="shared" si="31"/>
        <v>6826569882.3999996</v>
      </c>
      <c r="L48" s="18">
        <f t="shared" si="31"/>
        <v>6825129077.3999996</v>
      </c>
      <c r="M48" s="18">
        <f t="shared" si="31"/>
        <v>6822549077.3999996</v>
      </c>
      <c r="N48" s="20">
        <f t="shared" si="4"/>
        <v>0.90961115734971343</v>
      </c>
      <c r="O48" s="20">
        <f t="shared" si="5"/>
        <v>0.70949330812055467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1145998323</v>
      </c>
      <c r="I49" s="14">
        <v>17001677</v>
      </c>
      <c r="J49" s="27">
        <v>1121991803</v>
      </c>
      <c r="K49" s="27">
        <v>534235464</v>
      </c>
      <c r="L49" s="27">
        <v>534235464</v>
      </c>
      <c r="M49" s="27">
        <v>534235464</v>
      </c>
      <c r="N49" s="15">
        <f t="shared" si="4"/>
        <v>0.96473929750644882</v>
      </c>
      <c r="O49" s="15">
        <f t="shared" si="5"/>
        <v>0.45935981427343076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4867438933</v>
      </c>
      <c r="L50" s="27">
        <v>4867438933</v>
      </c>
      <c r="M50" s="27">
        <v>4867438933</v>
      </c>
      <c r="N50" s="15">
        <f t="shared" si="4"/>
        <v>0.979574807241954</v>
      </c>
      <c r="O50" s="15">
        <f t="shared" si="5"/>
        <v>0.96846137290418266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158000000</v>
      </c>
      <c r="F51" s="14">
        <v>2129556980</v>
      </c>
      <c r="G51" s="13">
        <v>0</v>
      </c>
      <c r="H51" s="13">
        <v>1824197167.49</v>
      </c>
      <c r="I51" s="14">
        <v>305359812.50999999</v>
      </c>
      <c r="J51" s="27">
        <v>1780690036.26</v>
      </c>
      <c r="K51" s="27">
        <v>984380291.39999998</v>
      </c>
      <c r="L51" s="27">
        <v>984380291.39999998</v>
      </c>
      <c r="M51" s="27">
        <v>984380291.39999998</v>
      </c>
      <c r="N51" s="15">
        <f t="shared" si="4"/>
        <v>0.83617862916257824</v>
      </c>
      <c r="O51" s="15">
        <f t="shared" si="5"/>
        <v>0.46224651448396559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241000000</v>
      </c>
      <c r="E52" s="13">
        <v>0</v>
      </c>
      <c r="F52" s="14">
        <v>973246236</v>
      </c>
      <c r="G52" s="13">
        <v>0</v>
      </c>
      <c r="H52" s="13">
        <v>718660736</v>
      </c>
      <c r="I52" s="14">
        <v>254585500</v>
      </c>
      <c r="J52" s="27">
        <v>698556294</v>
      </c>
      <c r="K52" s="27">
        <v>212993287</v>
      </c>
      <c r="L52" s="27">
        <v>212993287</v>
      </c>
      <c r="M52" s="27">
        <v>210413287</v>
      </c>
      <c r="N52" s="15">
        <f t="shared" si="4"/>
        <v>0.71775905023895725</v>
      </c>
      <c r="O52" s="15">
        <f t="shared" si="5"/>
        <v>0.21884830284614631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274464273</v>
      </c>
      <c r="I53" s="14">
        <v>56976532</v>
      </c>
      <c r="J53" s="27">
        <v>227521907</v>
      </c>
      <c r="K53" s="27">
        <v>227521907</v>
      </c>
      <c r="L53" s="27">
        <v>226081102</v>
      </c>
      <c r="M53" s="27">
        <v>226081102</v>
      </c>
      <c r="N53" s="15">
        <f t="shared" si="4"/>
        <v>0.68946032424242421</v>
      </c>
      <c r="O53" s="15">
        <f t="shared" si="5"/>
        <v>0.68946032424242421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50056179</v>
      </c>
      <c r="K54" s="8">
        <f t="shared" si="33"/>
        <v>50051670</v>
      </c>
      <c r="L54" s="8">
        <f t="shared" si="33"/>
        <v>50051670</v>
      </c>
      <c r="M54" s="8">
        <f t="shared" si="33"/>
        <v>50051670</v>
      </c>
      <c r="N54" s="9">
        <f t="shared" si="4"/>
        <v>1.3716577060931899E-2</v>
      </c>
      <c r="O54" s="10">
        <f t="shared" si="5"/>
        <v>1.3715341488277268E-2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42688871</v>
      </c>
      <c r="K56" s="13">
        <v>42684362</v>
      </c>
      <c r="L56" s="13">
        <v>42684362</v>
      </c>
      <c r="M56" s="13">
        <v>42684362</v>
      </c>
      <c r="N56" s="15">
        <f t="shared" si="4"/>
        <v>0.53454634360130227</v>
      </c>
      <c r="O56" s="15">
        <f t="shared" si="5"/>
        <v>0.53448988229401451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5035445709.71</v>
      </c>
      <c r="I65" s="8">
        <f t="shared" si="43"/>
        <v>1964554290.29</v>
      </c>
      <c r="J65" s="8">
        <f t="shared" si="43"/>
        <v>3646519044.71</v>
      </c>
      <c r="K65" s="8">
        <f t="shared" si="43"/>
        <v>951566034.70000005</v>
      </c>
      <c r="L65" s="8">
        <f t="shared" si="43"/>
        <v>951566034.70000005</v>
      </c>
      <c r="M65" s="8">
        <f t="shared" si="43"/>
        <v>951566034.70000005</v>
      </c>
      <c r="N65" s="9">
        <f t="shared" si="4"/>
        <v>0.52093129210142852</v>
      </c>
      <c r="O65" s="10">
        <f t="shared" si="5"/>
        <v>0.13593800495714287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0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0</v>
      </c>
      <c r="K67" s="13">
        <v>0</v>
      </c>
      <c r="L67" s="13">
        <v>0</v>
      </c>
      <c r="M67" s="13">
        <v>0</v>
      </c>
      <c r="N67" s="15">
        <f t="shared" si="4"/>
        <v>0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234345429</v>
      </c>
      <c r="K68" s="18">
        <f t="shared" si="45"/>
        <v>22120000</v>
      </c>
      <c r="L68" s="18">
        <f t="shared" si="45"/>
        <v>22120000</v>
      </c>
      <c r="M68" s="18">
        <f t="shared" si="45"/>
        <v>22120000</v>
      </c>
      <c r="N68" s="20">
        <f t="shared" si="4"/>
        <v>0.22406102782292761</v>
      </c>
      <c r="O68" s="20">
        <f t="shared" si="5"/>
        <v>2.1149249450234248E-2</v>
      </c>
    </row>
    <row r="69" spans="1:15" ht="22.5" x14ac:dyDescent="0.25">
      <c r="A69" s="33" t="s">
        <v>160</v>
      </c>
      <c r="B69" s="12" t="s">
        <v>163</v>
      </c>
      <c r="C69" s="13">
        <v>120000000</v>
      </c>
      <c r="D69" s="13">
        <v>0</v>
      </c>
      <c r="E69" s="13">
        <v>0</v>
      </c>
      <c r="F69" s="14">
        <v>120000000</v>
      </c>
      <c r="G69" s="13">
        <v>0</v>
      </c>
      <c r="H69" s="13">
        <v>106743762</v>
      </c>
      <c r="I69" s="14">
        <v>13256238</v>
      </c>
      <c r="J69" s="13">
        <v>106743762</v>
      </c>
      <c r="K69" s="13">
        <v>0</v>
      </c>
      <c r="L69" s="13">
        <v>0</v>
      </c>
      <c r="M69" s="13">
        <v>0</v>
      </c>
      <c r="N69" s="15">
        <f t="shared" si="4"/>
        <v>0.88953135000000005</v>
      </c>
      <c r="O69" s="15">
        <f t="shared" si="5"/>
        <v>0</v>
      </c>
    </row>
    <row r="70" spans="1:15" ht="22.5" x14ac:dyDescent="0.25">
      <c r="A70" s="33" t="s">
        <v>161</v>
      </c>
      <c r="B70" s="12" t="s">
        <v>164</v>
      </c>
      <c r="C70" s="13">
        <v>185900000</v>
      </c>
      <c r="D70" s="13">
        <v>0</v>
      </c>
      <c r="E70" s="13">
        <v>0</v>
      </c>
      <c r="F70" s="14">
        <v>185900000</v>
      </c>
      <c r="G70" s="13">
        <v>0</v>
      </c>
      <c r="H70" s="13">
        <v>127601667</v>
      </c>
      <c r="I70" s="14">
        <v>58298333</v>
      </c>
      <c r="J70" s="13">
        <v>127601667</v>
      </c>
      <c r="K70" s="13">
        <v>22120000</v>
      </c>
      <c r="L70" s="13">
        <v>22120000</v>
      </c>
      <c r="M70" s="13">
        <v>22120000</v>
      </c>
      <c r="N70" s="15">
        <f t="shared" si="4"/>
        <v>0.6863994997310382</v>
      </c>
      <c r="O70" s="15">
        <f t="shared" si="5"/>
        <v>0.11898870360408823</v>
      </c>
    </row>
    <row r="71" spans="1:15" ht="22.5" x14ac:dyDescent="0.25">
      <c r="A71" s="33" t="s">
        <v>162</v>
      </c>
      <c r="B71" s="12" t="s">
        <v>165</v>
      </c>
      <c r="C71" s="13">
        <v>740000000</v>
      </c>
      <c r="D71" s="13">
        <v>0</v>
      </c>
      <c r="E71" s="13">
        <v>0</v>
      </c>
      <c r="F71" s="14">
        <v>740000000</v>
      </c>
      <c r="G71" s="13">
        <v>0</v>
      </c>
      <c r="H71" s="13">
        <v>464191224</v>
      </c>
      <c r="I71" s="14">
        <v>275808776</v>
      </c>
      <c r="J71" s="13">
        <v>0</v>
      </c>
      <c r="K71" s="13">
        <v>0</v>
      </c>
      <c r="L71" s="13">
        <v>0</v>
      </c>
      <c r="M71" s="13">
        <v>0</v>
      </c>
      <c r="N71" s="15">
        <f t="shared" si="4"/>
        <v>0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1803589167.71</v>
      </c>
      <c r="I72" s="18">
        <f t="shared" si="46"/>
        <v>1021622017.29</v>
      </c>
      <c r="J72" s="18">
        <f t="shared" si="46"/>
        <v>1549809115.71</v>
      </c>
      <c r="K72" s="18">
        <f t="shared" si="46"/>
        <v>376194453.02999997</v>
      </c>
      <c r="L72" s="18">
        <f t="shared" si="46"/>
        <v>376194453.02999997</v>
      </c>
      <c r="M72" s="18">
        <f t="shared" si="46"/>
        <v>376194453.02999997</v>
      </c>
      <c r="N72" s="20">
        <f t="shared" si="4"/>
        <v>0.54856398839791509</v>
      </c>
      <c r="O72" s="20">
        <f t="shared" si="5"/>
        <v>0.13315622387003964</v>
      </c>
    </row>
    <row r="73" spans="1:15" ht="22.5" x14ac:dyDescent="0.25">
      <c r="A73" s="33" t="s">
        <v>166</v>
      </c>
      <c r="B73" s="12" t="s">
        <v>165</v>
      </c>
      <c r="C73" s="13">
        <v>1900000000</v>
      </c>
      <c r="D73" s="13">
        <v>0</v>
      </c>
      <c r="E73" s="13">
        <v>0</v>
      </c>
      <c r="F73" s="14">
        <v>1900000000</v>
      </c>
      <c r="G73" s="13">
        <v>0</v>
      </c>
      <c r="H73" s="13">
        <v>1172597957.71</v>
      </c>
      <c r="I73" s="14">
        <v>727402042.28999996</v>
      </c>
      <c r="J73" s="13">
        <v>985817905.71000004</v>
      </c>
      <c r="K73" s="13">
        <v>360194453.02999997</v>
      </c>
      <c r="L73" s="13">
        <v>360194453.02999997</v>
      </c>
      <c r="M73" s="13">
        <v>360194453.02999997</v>
      </c>
      <c r="N73" s="15">
        <f t="shared" si="4"/>
        <v>0.51885152932105261</v>
      </c>
      <c r="O73" s="15">
        <f t="shared" si="5"/>
        <v>0.1895760279105263</v>
      </c>
    </row>
    <row r="74" spans="1:15" ht="22.5" x14ac:dyDescent="0.25">
      <c r="A74" s="33" t="s">
        <v>167</v>
      </c>
      <c r="B74" s="12" t="s">
        <v>168</v>
      </c>
      <c r="C74" s="13">
        <v>925211185</v>
      </c>
      <c r="D74" s="13">
        <v>0</v>
      </c>
      <c r="E74" s="13">
        <v>0</v>
      </c>
      <c r="F74" s="14">
        <v>925211185</v>
      </c>
      <c r="G74" s="13">
        <v>0</v>
      </c>
      <c r="H74" s="13">
        <v>630991210</v>
      </c>
      <c r="I74" s="14">
        <v>294219975</v>
      </c>
      <c r="J74" s="13">
        <v>563991210</v>
      </c>
      <c r="K74" s="13">
        <v>16000000</v>
      </c>
      <c r="L74" s="13">
        <v>16000000</v>
      </c>
      <c r="M74" s="13">
        <v>16000000</v>
      </c>
      <c r="N74" s="15">
        <f t="shared" si="4"/>
        <v>0.60958105472968316</v>
      </c>
      <c r="O74" s="15">
        <f t="shared" si="5"/>
        <v>1.7293349085484737E-2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1931345755</v>
      </c>
      <c r="I75" s="18">
        <f t="shared" si="47"/>
        <v>468654245</v>
      </c>
      <c r="J75" s="18">
        <f t="shared" si="47"/>
        <v>1602058648</v>
      </c>
      <c r="K75" s="18">
        <f t="shared" si="47"/>
        <v>477907831.67000002</v>
      </c>
      <c r="L75" s="18">
        <f t="shared" si="47"/>
        <v>477907831.67000002</v>
      </c>
      <c r="M75" s="18">
        <f t="shared" si="47"/>
        <v>477907831.67000002</v>
      </c>
      <c r="N75" s="20">
        <f t="shared" si="4"/>
        <v>0.66752443666666672</v>
      </c>
      <c r="O75" s="20">
        <f t="shared" si="5"/>
        <v>0.19912826319583335</v>
      </c>
    </row>
    <row r="76" spans="1:15" ht="22.5" x14ac:dyDescent="0.25">
      <c r="A76" s="33" t="s">
        <v>150</v>
      </c>
      <c r="B76" s="12" t="s">
        <v>154</v>
      </c>
      <c r="C76" s="13">
        <v>947762000</v>
      </c>
      <c r="D76" s="13">
        <v>0</v>
      </c>
      <c r="E76" s="13">
        <v>0</v>
      </c>
      <c r="F76" s="14">
        <v>947762000</v>
      </c>
      <c r="G76" s="13">
        <v>0</v>
      </c>
      <c r="H76" s="13">
        <v>755836748</v>
      </c>
      <c r="I76" s="14">
        <v>191925252</v>
      </c>
      <c r="J76" s="13">
        <v>599215800</v>
      </c>
      <c r="K76" s="13">
        <v>280132999.67000002</v>
      </c>
      <c r="L76" s="13">
        <v>280132999.67000002</v>
      </c>
      <c r="M76" s="13">
        <v>280132999.67000002</v>
      </c>
      <c r="N76" s="15">
        <f t="shared" si="4"/>
        <v>0.63224290486430135</v>
      </c>
      <c r="O76" s="15">
        <f t="shared" si="5"/>
        <v>0.29557314987306943</v>
      </c>
    </row>
    <row r="77" spans="1:15" ht="22.5" x14ac:dyDescent="0.25">
      <c r="A77" s="33" t="s">
        <v>151</v>
      </c>
      <c r="B77" s="12" t="s">
        <v>155</v>
      </c>
      <c r="C77" s="13">
        <v>201220000</v>
      </c>
      <c r="D77" s="13">
        <v>0</v>
      </c>
      <c r="E77" s="13">
        <v>0</v>
      </c>
      <c r="F77" s="14">
        <v>201220000</v>
      </c>
      <c r="G77" s="13">
        <v>0</v>
      </c>
      <c r="H77" s="13">
        <v>67200000</v>
      </c>
      <c r="I77" s="14">
        <v>134020000</v>
      </c>
      <c r="J77" s="13">
        <v>67200000</v>
      </c>
      <c r="K77" s="13">
        <v>29866667</v>
      </c>
      <c r="L77" s="13">
        <v>29866667</v>
      </c>
      <c r="M77" s="13">
        <v>29866667</v>
      </c>
      <c r="N77" s="15">
        <f t="shared" si="4"/>
        <v>0.33396282675678363</v>
      </c>
      <c r="O77" s="15">
        <f t="shared" si="5"/>
        <v>0.14842792465957658</v>
      </c>
    </row>
    <row r="78" spans="1:15" ht="33.75" x14ac:dyDescent="0.25">
      <c r="A78" s="33" t="s">
        <v>152</v>
      </c>
      <c r="B78" s="12" t="s">
        <v>156</v>
      </c>
      <c r="C78" s="13">
        <v>400000000</v>
      </c>
      <c r="D78" s="13">
        <v>0</v>
      </c>
      <c r="E78" s="13">
        <v>0</v>
      </c>
      <c r="F78" s="14">
        <v>400000000</v>
      </c>
      <c r="G78" s="13">
        <v>0</v>
      </c>
      <c r="H78" s="13">
        <v>396556145</v>
      </c>
      <c r="I78" s="14">
        <v>3443855</v>
      </c>
      <c r="J78" s="13">
        <v>375222811</v>
      </c>
      <c r="K78" s="13">
        <v>129308165</v>
      </c>
      <c r="L78" s="13">
        <v>129308165</v>
      </c>
      <c r="M78" s="13">
        <v>129308165</v>
      </c>
      <c r="N78" s="15">
        <f t="shared" si="4"/>
        <v>0.93805702749999997</v>
      </c>
      <c r="O78" s="15">
        <f t="shared" si="5"/>
        <v>0.32327041249999999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560420037</v>
      </c>
      <c r="K79" s="13">
        <v>38600000</v>
      </c>
      <c r="L79" s="13">
        <v>38600000</v>
      </c>
      <c r="M79" s="13">
        <v>38600000</v>
      </c>
      <c r="N79" s="15">
        <f t="shared" si="4"/>
        <v>0.65852900526193336</v>
      </c>
      <c r="O79" s="15">
        <f t="shared" si="5"/>
        <v>4.5357442498278534E-2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0</v>
      </c>
      <c r="L80" s="18">
        <f t="shared" si="48"/>
        <v>0</v>
      </c>
      <c r="M80" s="18">
        <f t="shared" si="48"/>
        <v>0</v>
      </c>
      <c r="N80" s="20">
        <f t="shared" si="4"/>
        <v>0.5</v>
      </c>
      <c r="O80" s="20">
        <f t="shared" si="5"/>
        <v>0</v>
      </c>
    </row>
    <row r="81" spans="1:15" ht="22.5" x14ac:dyDescent="0.25">
      <c r="A81" s="33" t="s">
        <v>170</v>
      </c>
      <c r="B81" s="12" t="s">
        <v>164</v>
      </c>
      <c r="C81" s="13">
        <v>120000000</v>
      </c>
      <c r="D81" s="13">
        <v>0</v>
      </c>
      <c r="E81" s="13">
        <v>0</v>
      </c>
      <c r="F81" s="14">
        <v>120000000</v>
      </c>
      <c r="G81" s="13">
        <v>0</v>
      </c>
      <c r="H81" s="13">
        <v>20000000</v>
      </c>
      <c r="I81" s="14">
        <v>100000000</v>
      </c>
      <c r="J81" s="13">
        <v>20000000</v>
      </c>
      <c r="K81" s="13">
        <v>0</v>
      </c>
      <c r="L81" s="13">
        <v>0</v>
      </c>
      <c r="M81" s="13">
        <v>0</v>
      </c>
      <c r="N81" s="15">
        <f>+J81/F81</f>
        <v>0.16666666666666666</v>
      </c>
      <c r="O81" s="15">
        <f>+K81/F81</f>
        <v>0</v>
      </c>
    </row>
    <row r="82" spans="1:15" ht="22.5" x14ac:dyDescent="0.25">
      <c r="A82" s="33" t="s">
        <v>169</v>
      </c>
      <c r="B82" s="12" t="s">
        <v>171</v>
      </c>
      <c r="C82" s="13">
        <v>80000000</v>
      </c>
      <c r="D82" s="13">
        <v>0</v>
      </c>
      <c r="E82" s="13">
        <v>0</v>
      </c>
      <c r="F82" s="14">
        <v>80000000</v>
      </c>
      <c r="G82" s="13">
        <v>0</v>
      </c>
      <c r="H82" s="13">
        <v>80000000</v>
      </c>
      <c r="I82" s="14">
        <v>0</v>
      </c>
      <c r="J82" s="13">
        <v>80000000</v>
      </c>
      <c r="K82" s="13">
        <v>0</v>
      </c>
      <c r="L82" s="13">
        <v>0</v>
      </c>
      <c r="M82" s="13">
        <v>0</v>
      </c>
      <c r="N82" s="15">
        <f>+J82/F82</f>
        <v>1</v>
      </c>
      <c r="O82" s="15">
        <f>+K82/F82</f>
        <v>0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301974134</v>
      </c>
      <c r="I83" s="18">
        <f t="shared" si="49"/>
        <v>26914681</v>
      </c>
      <c r="J83" s="18">
        <f t="shared" si="49"/>
        <v>160305852</v>
      </c>
      <c r="K83" s="18">
        <f t="shared" si="49"/>
        <v>75343750</v>
      </c>
      <c r="L83" s="18">
        <f t="shared" si="49"/>
        <v>75343750</v>
      </c>
      <c r="M83" s="18">
        <f t="shared" si="49"/>
        <v>75343750</v>
      </c>
      <c r="N83" s="20">
        <f t="shared" si="4"/>
        <v>0.48741655139594819</v>
      </c>
      <c r="O83" s="20">
        <f t="shared" si="5"/>
        <v>0.22908577781825751</v>
      </c>
    </row>
    <row r="84" spans="1:15" ht="33.75" x14ac:dyDescent="0.25">
      <c r="A84" s="33" t="s">
        <v>173</v>
      </c>
      <c r="B84" s="12" t="s">
        <v>156</v>
      </c>
      <c r="C84" s="13">
        <v>34688334</v>
      </c>
      <c r="D84" s="13">
        <v>0</v>
      </c>
      <c r="E84" s="13">
        <v>0</v>
      </c>
      <c r="F84" s="14">
        <v>34688334</v>
      </c>
      <c r="G84" s="13">
        <v>0</v>
      </c>
      <c r="H84" s="13">
        <v>34688334</v>
      </c>
      <c r="I84" s="14">
        <v>0</v>
      </c>
      <c r="J84" s="13">
        <v>0</v>
      </c>
      <c r="K84" s="13">
        <v>0</v>
      </c>
      <c r="L84" s="13">
        <v>0</v>
      </c>
      <c r="M84" s="13">
        <v>0</v>
      </c>
      <c r="N84" s="15">
        <f t="shared" si="4"/>
        <v>0</v>
      </c>
      <c r="O84" s="15">
        <f t="shared" si="5"/>
        <v>0</v>
      </c>
    </row>
    <row r="85" spans="1:15" ht="22.5" x14ac:dyDescent="0.25">
      <c r="A85" s="33" t="s">
        <v>172</v>
      </c>
      <c r="B85" s="12" t="s">
        <v>171</v>
      </c>
      <c r="C85" s="13">
        <v>294200481</v>
      </c>
      <c r="D85" s="13">
        <v>0</v>
      </c>
      <c r="E85" s="13">
        <v>0</v>
      </c>
      <c r="F85" s="14">
        <v>294200481</v>
      </c>
      <c r="G85" s="13">
        <v>0</v>
      </c>
      <c r="H85" s="13">
        <v>267285800</v>
      </c>
      <c r="I85" s="14">
        <v>26914681</v>
      </c>
      <c r="J85" s="13">
        <v>160305852</v>
      </c>
      <c r="K85" s="13">
        <v>75343750</v>
      </c>
      <c r="L85" s="13">
        <v>75343750</v>
      </c>
      <c r="M85" s="13">
        <v>75343750</v>
      </c>
      <c r="N85" s="15">
        <f t="shared" si="4"/>
        <v>0.54488643749022292</v>
      </c>
      <c r="O85" s="15">
        <f t="shared" si="5"/>
        <v>0.25609662412482598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1879001340</v>
      </c>
      <c r="E86" s="8">
        <f t="shared" si="50"/>
        <v>1879001340</v>
      </c>
      <c r="F86" s="8">
        <f t="shared" si="50"/>
        <v>36191962728</v>
      </c>
      <c r="G86" s="8">
        <f t="shared" si="50"/>
        <v>2435000000</v>
      </c>
      <c r="H86" s="8">
        <f t="shared" si="50"/>
        <v>29386900292.57</v>
      </c>
      <c r="I86" s="8">
        <f t="shared" si="50"/>
        <v>4370062435.4300003</v>
      </c>
      <c r="J86" s="8">
        <f t="shared" si="50"/>
        <v>21720346133.269997</v>
      </c>
      <c r="K86" s="8">
        <f t="shared" si="50"/>
        <v>16998434897.1</v>
      </c>
      <c r="L86" s="8">
        <f t="shared" si="50"/>
        <v>16995025356.1</v>
      </c>
      <c r="M86" s="8">
        <f t="shared" si="50"/>
        <v>16992445356.1</v>
      </c>
      <c r="N86" s="9">
        <f t="shared" si="4"/>
        <v>0.60014280785236329</v>
      </c>
      <c r="O86" s="10">
        <f t="shared" si="5"/>
        <v>0.46967430379091102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abSelected="1" workbookViewId="0">
      <pane xSplit="1" ySplit="4" topLeftCell="B5" activePane="bottomRight" state="frozen"/>
      <selection activeCell="C86" sqref="C86"/>
      <selection pane="topRight" activeCell="C86" sqref="C86"/>
      <selection pane="bottomLeft" activeCell="C86" sqref="C86"/>
      <selection pane="bottomRight" activeCell="C86" sqref="C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1" width="14.85546875" style="1" customWidth="1"/>
    <col min="12" max="13" width="15" style="1" customWidth="1"/>
    <col min="14" max="14" width="6.7109375" style="1" customWidth="1"/>
    <col min="15" max="15" width="6.5703125" style="1" customWidth="1"/>
    <col min="16" max="16" width="11.42578125" style="21"/>
    <col min="17" max="17" width="27.42578125" style="21" customWidth="1"/>
    <col min="18" max="22" width="11.42578125" style="21"/>
    <col min="23" max="16384" width="11.42578125" style="1"/>
  </cols>
  <sheetData>
    <row r="1" spans="1:22" ht="15" customHeight="1" x14ac:dyDescent="0.25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/>
    </row>
    <row r="2" spans="1:22" ht="15" customHeight="1" x14ac:dyDescent="0.25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22" ht="15" customHeight="1" x14ac:dyDescent="0.25">
      <c r="A3" s="70" t="s">
        <v>245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22" s="2" customFormat="1" ht="23.25" customHeight="1" x14ac:dyDescent="0.25">
      <c r="A4" s="6" t="s">
        <v>144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174</v>
      </c>
      <c r="O4" s="6" t="s">
        <v>175</v>
      </c>
      <c r="P4" s="21"/>
      <c r="Q4" s="21"/>
      <c r="R4" s="21"/>
      <c r="S4" s="21"/>
      <c r="T4" s="21"/>
      <c r="U4" s="21"/>
      <c r="V4" s="21"/>
    </row>
    <row r="5" spans="1:22" s="2" customFormat="1" ht="15" customHeight="1" x14ac:dyDescent="0.25">
      <c r="A5" s="67" t="s">
        <v>22</v>
      </c>
      <c r="B5" s="67"/>
      <c r="C5" s="7">
        <f>+C6+C38+C54+C59</f>
        <v>29191962728</v>
      </c>
      <c r="D5" s="7">
        <f t="shared" ref="D5:M5" si="0">+D6+D38+D54+D59</f>
        <v>1968001340</v>
      </c>
      <c r="E5" s="7">
        <f t="shared" si="0"/>
        <v>2308001340</v>
      </c>
      <c r="F5" s="7">
        <f t="shared" si="0"/>
        <v>28851962728</v>
      </c>
      <c r="G5" s="7">
        <f t="shared" si="0"/>
        <v>2435000000</v>
      </c>
      <c r="H5" s="7">
        <f t="shared" si="0"/>
        <v>24084265621.060001</v>
      </c>
      <c r="I5" s="7">
        <f t="shared" si="0"/>
        <v>2332697106.9399977</v>
      </c>
      <c r="J5" s="7">
        <f t="shared" si="0"/>
        <v>19366502131.379997</v>
      </c>
      <c r="K5" s="7">
        <f t="shared" si="0"/>
        <v>17565268024.049999</v>
      </c>
      <c r="L5" s="7">
        <f t="shared" si="0"/>
        <v>17496091315.790001</v>
      </c>
      <c r="M5" s="7">
        <f t="shared" si="0"/>
        <v>17477170221.790001</v>
      </c>
      <c r="N5" s="9">
        <f>+J5/F5</f>
        <v>0.67123690384451262</v>
      </c>
      <c r="O5" s="10">
        <f>+K5/F5</f>
        <v>0.6088066933139149</v>
      </c>
      <c r="P5" s="21"/>
      <c r="Q5" s="21"/>
      <c r="R5" s="21"/>
      <c r="S5" s="21"/>
      <c r="T5" s="21"/>
      <c r="U5" s="21"/>
      <c r="V5" s="21"/>
    </row>
    <row r="6" spans="1:22" s="2" customFormat="1" x14ac:dyDescent="0.25">
      <c r="A6" s="67" t="s">
        <v>23</v>
      </c>
      <c r="B6" s="67"/>
      <c r="C6" s="7">
        <f>+C7+C36+C37</f>
        <v>15579189000</v>
      </c>
      <c r="D6" s="7">
        <f>+D7+D36+D37</f>
        <v>593504000</v>
      </c>
      <c r="E6" s="7">
        <f>+E7+E36+E37</f>
        <v>933504000</v>
      </c>
      <c r="F6" s="7">
        <f t="shared" ref="F6:L6" si="1">+F7+F36+F37</f>
        <v>15239189000</v>
      </c>
      <c r="G6" s="7">
        <f t="shared" si="1"/>
        <v>0</v>
      </c>
      <c r="H6" s="7">
        <f t="shared" si="1"/>
        <v>14812685000</v>
      </c>
      <c r="I6" s="7">
        <f t="shared" si="1"/>
        <v>426504000</v>
      </c>
      <c r="J6" s="7">
        <f t="shared" si="1"/>
        <v>10215709812</v>
      </c>
      <c r="K6" s="7">
        <f t="shared" si="1"/>
        <v>10215147180</v>
      </c>
      <c r="L6" s="7">
        <f t="shared" si="1"/>
        <v>10215147180</v>
      </c>
      <c r="M6" s="7">
        <f>+M7+M36+M37</f>
        <v>10215147180</v>
      </c>
      <c r="N6" s="9">
        <f>+J6/F6</f>
        <v>0.67035783938370996</v>
      </c>
      <c r="O6" s="10">
        <f>+K6/F6</f>
        <v>0.6703209193087637</v>
      </c>
      <c r="P6" s="21"/>
      <c r="Q6" s="38"/>
      <c r="R6" s="21"/>
      <c r="S6" s="21"/>
      <c r="T6" s="21"/>
      <c r="U6" s="21"/>
      <c r="V6" s="21"/>
    </row>
    <row r="7" spans="1:22" x14ac:dyDescent="0.25">
      <c r="A7" s="16" t="s">
        <v>44</v>
      </c>
      <c r="B7" s="17" t="s">
        <v>45</v>
      </c>
      <c r="C7" s="18">
        <f>+C8+C20+C30</f>
        <v>15152685000</v>
      </c>
      <c r="D7" s="18">
        <f>+D8+D20+D30</f>
        <v>167000000</v>
      </c>
      <c r="E7" s="18">
        <f>+E8+E20+E30</f>
        <v>507000000</v>
      </c>
      <c r="F7" s="19">
        <f t="shared" ref="F7:F30" si="2">+C7+D7-E7</f>
        <v>14812685000</v>
      </c>
      <c r="G7" s="18">
        <f>+G8+G20+G30</f>
        <v>0</v>
      </c>
      <c r="H7" s="18">
        <f>+H8+H20+H30</f>
        <v>14812685000</v>
      </c>
      <c r="I7" s="19">
        <f>+F7-G7-H7</f>
        <v>0</v>
      </c>
      <c r="J7" s="18">
        <f>+J8+J20+J30</f>
        <v>10215709812</v>
      </c>
      <c r="K7" s="18">
        <f>+K8+K20+K30</f>
        <v>10215147180</v>
      </c>
      <c r="L7" s="18">
        <f>+L8+L20+L30</f>
        <v>10215147180</v>
      </c>
      <c r="M7" s="18">
        <f>+M8+M20+M30</f>
        <v>10215147180</v>
      </c>
      <c r="N7" s="20">
        <f>+J7/F7</f>
        <v>0.68965955949242153</v>
      </c>
      <c r="O7" s="20">
        <f>+K7/F7</f>
        <v>0.68962157637187316</v>
      </c>
    </row>
    <row r="8" spans="1:22" x14ac:dyDescent="0.25">
      <c r="A8" s="16" t="s">
        <v>46</v>
      </c>
      <c r="B8" s="17" t="s">
        <v>47</v>
      </c>
      <c r="C8" s="18">
        <f>+C9</f>
        <v>10483261000</v>
      </c>
      <c r="D8" s="18">
        <f>+D9</f>
        <v>0</v>
      </c>
      <c r="E8" s="18">
        <f>+E9</f>
        <v>140000000</v>
      </c>
      <c r="F8" s="19">
        <f t="shared" si="2"/>
        <v>10343261000</v>
      </c>
      <c r="G8" s="18">
        <f>+G9</f>
        <v>0</v>
      </c>
      <c r="H8" s="18">
        <f>+H9</f>
        <v>10343261000</v>
      </c>
      <c r="I8" s="19">
        <f t="shared" ref="I8:I9" si="3">+F8-G8-H8</f>
        <v>0</v>
      </c>
      <c r="J8" s="18">
        <f>+J9</f>
        <v>6955722843</v>
      </c>
      <c r="K8" s="18">
        <f>+K9</f>
        <v>6955200474</v>
      </c>
      <c r="L8" s="18">
        <f>+L9</f>
        <v>6955200474</v>
      </c>
      <c r="M8" s="18">
        <f>+M9</f>
        <v>6955200474</v>
      </c>
      <c r="N8" s="20">
        <f t="shared" ref="N8:N86" si="4">+J8/F8</f>
        <v>0.67248838088877383</v>
      </c>
      <c r="O8" s="20">
        <f t="shared" ref="O8:O86" si="5">+K8/F8</f>
        <v>0.67243787757071971</v>
      </c>
    </row>
    <row r="9" spans="1:22" x14ac:dyDescent="0.25">
      <c r="A9" s="16" t="s">
        <v>48</v>
      </c>
      <c r="B9" s="17" t="s">
        <v>49</v>
      </c>
      <c r="C9" s="18">
        <f>SUM(C10:C19)</f>
        <v>10483261000</v>
      </c>
      <c r="D9" s="18">
        <f>SUM(D10:D19)</f>
        <v>0</v>
      </c>
      <c r="E9" s="18">
        <f>SUM(E10:E19)</f>
        <v>140000000</v>
      </c>
      <c r="F9" s="19">
        <f t="shared" si="2"/>
        <v>10343261000</v>
      </c>
      <c r="G9" s="18">
        <f>SUM(G10:G19)</f>
        <v>0</v>
      </c>
      <c r="H9" s="18">
        <f>SUM(H10:H19)</f>
        <v>10343261000</v>
      </c>
      <c r="I9" s="19">
        <f t="shared" si="3"/>
        <v>0</v>
      </c>
      <c r="J9" s="18">
        <f>SUM(J10:J19)</f>
        <v>6955722843</v>
      </c>
      <c r="K9" s="18">
        <f>SUM(K10:K19)</f>
        <v>6955200474</v>
      </c>
      <c r="L9" s="18">
        <f>SUM(L10:L19)</f>
        <v>6955200474</v>
      </c>
      <c r="M9" s="18">
        <f>SUM(M10:M19)</f>
        <v>6955200474</v>
      </c>
      <c r="N9" s="20">
        <f t="shared" si="4"/>
        <v>0.67248838088877383</v>
      </c>
      <c r="O9" s="20">
        <f t="shared" si="5"/>
        <v>0.67243787757071971</v>
      </c>
    </row>
    <row r="10" spans="1:22" x14ac:dyDescent="0.25">
      <c r="A10" s="11" t="s">
        <v>50</v>
      </c>
      <c r="B10" s="12" t="s">
        <v>51</v>
      </c>
      <c r="C10" s="13">
        <v>7663000000</v>
      </c>
      <c r="D10" s="13">
        <v>0</v>
      </c>
      <c r="E10" s="13">
        <v>0</v>
      </c>
      <c r="F10" s="14">
        <v>7663000000</v>
      </c>
      <c r="G10" s="13">
        <v>0</v>
      </c>
      <c r="H10" s="13">
        <v>7663000000</v>
      </c>
      <c r="I10" s="14">
        <v>0</v>
      </c>
      <c r="J10" s="13">
        <v>5782879380</v>
      </c>
      <c r="K10" s="13">
        <v>5782445769</v>
      </c>
      <c r="L10" s="13">
        <v>5782445769</v>
      </c>
      <c r="M10" s="13">
        <v>5782445769</v>
      </c>
      <c r="N10" s="15">
        <f t="shared" si="4"/>
        <v>0.75464953412501634</v>
      </c>
      <c r="O10" s="15">
        <f t="shared" si="5"/>
        <v>0.7545929491060942</v>
      </c>
    </row>
    <row r="11" spans="1:22" x14ac:dyDescent="0.25">
      <c r="A11" s="11" t="s">
        <v>52</v>
      </c>
      <c r="B11" s="12" t="s">
        <v>53</v>
      </c>
      <c r="C11" s="13">
        <v>73000000</v>
      </c>
      <c r="D11" s="13">
        <v>0</v>
      </c>
      <c r="E11" s="13">
        <v>0</v>
      </c>
      <c r="F11" s="14">
        <v>73000000</v>
      </c>
      <c r="G11" s="13">
        <v>0</v>
      </c>
      <c r="H11" s="13">
        <v>73000000</v>
      </c>
      <c r="I11" s="14">
        <v>0</v>
      </c>
      <c r="J11" s="13">
        <v>53058717</v>
      </c>
      <c r="K11" s="13">
        <v>53058717</v>
      </c>
      <c r="L11" s="13">
        <v>53058717</v>
      </c>
      <c r="M11" s="13">
        <v>53058717</v>
      </c>
      <c r="N11" s="15">
        <f t="shared" si="4"/>
        <v>0.72683173972602744</v>
      </c>
      <c r="O11" s="15">
        <f t="shared" si="5"/>
        <v>0.72683173972602744</v>
      </c>
    </row>
    <row r="12" spans="1:22" x14ac:dyDescent="0.25">
      <c r="A12" s="11" t="s">
        <v>54</v>
      </c>
      <c r="B12" s="12" t="s">
        <v>55</v>
      </c>
      <c r="C12" s="13">
        <v>640000000</v>
      </c>
      <c r="D12" s="13">
        <v>0</v>
      </c>
      <c r="E12" s="13">
        <v>120000000</v>
      </c>
      <c r="F12" s="14">
        <v>520000000</v>
      </c>
      <c r="G12" s="13">
        <v>0</v>
      </c>
      <c r="H12" s="13">
        <v>520000000</v>
      </c>
      <c r="I12" s="14">
        <v>0</v>
      </c>
      <c r="J12" s="13">
        <v>352851358</v>
      </c>
      <c r="K12" s="13">
        <v>352851358</v>
      </c>
      <c r="L12" s="13">
        <v>352851358</v>
      </c>
      <c r="M12" s="13">
        <v>352851358</v>
      </c>
      <c r="N12" s="15">
        <f t="shared" si="4"/>
        <v>0.67856030384615384</v>
      </c>
      <c r="O12" s="15">
        <f t="shared" si="5"/>
        <v>0.67856030384615384</v>
      </c>
    </row>
    <row r="13" spans="1:22" x14ac:dyDescent="0.25">
      <c r="A13" s="11" t="s">
        <v>56</v>
      </c>
      <c r="B13" s="12" t="s">
        <v>57</v>
      </c>
      <c r="C13" s="13">
        <v>14000000</v>
      </c>
      <c r="D13" s="13">
        <v>0</v>
      </c>
      <c r="E13" s="13">
        <v>0</v>
      </c>
      <c r="F13" s="14">
        <v>14000000</v>
      </c>
      <c r="G13" s="13">
        <v>0</v>
      </c>
      <c r="H13" s="13">
        <v>14000000</v>
      </c>
      <c r="I13" s="14">
        <v>0</v>
      </c>
      <c r="J13" s="13">
        <v>9865554</v>
      </c>
      <c r="K13" s="13">
        <v>9865554</v>
      </c>
      <c r="L13" s="13">
        <v>9865554</v>
      </c>
      <c r="M13" s="13">
        <v>9865554</v>
      </c>
      <c r="N13" s="15">
        <f t="shared" si="4"/>
        <v>0.7046824285714286</v>
      </c>
      <c r="O13" s="15">
        <f t="shared" si="5"/>
        <v>0.7046824285714286</v>
      </c>
    </row>
    <row r="14" spans="1:22" x14ac:dyDescent="0.25">
      <c r="A14" s="11" t="s">
        <v>58</v>
      </c>
      <c r="B14" s="12" t="s">
        <v>178</v>
      </c>
      <c r="C14" s="13">
        <v>5000000</v>
      </c>
      <c r="D14" s="13">
        <v>0</v>
      </c>
      <c r="E14" s="13">
        <v>0</v>
      </c>
      <c r="F14" s="14">
        <v>5000000</v>
      </c>
      <c r="G14" s="13">
        <v>0</v>
      </c>
      <c r="H14" s="13">
        <v>5000000</v>
      </c>
      <c r="I14" s="14">
        <v>0</v>
      </c>
      <c r="J14" s="13">
        <v>0</v>
      </c>
      <c r="K14" s="13">
        <v>0</v>
      </c>
      <c r="L14" s="13">
        <v>0</v>
      </c>
      <c r="M14" s="13">
        <v>0</v>
      </c>
      <c r="N14" s="15">
        <f t="shared" si="4"/>
        <v>0</v>
      </c>
      <c r="O14" s="15">
        <f t="shared" si="5"/>
        <v>0</v>
      </c>
    </row>
    <row r="15" spans="1:22" x14ac:dyDescent="0.25">
      <c r="A15" s="11" t="s">
        <v>59</v>
      </c>
      <c r="B15" s="12" t="s">
        <v>14</v>
      </c>
      <c r="C15" s="13">
        <v>404000000</v>
      </c>
      <c r="D15" s="13">
        <v>0</v>
      </c>
      <c r="E15" s="13">
        <v>0</v>
      </c>
      <c r="F15" s="14">
        <v>404000000</v>
      </c>
      <c r="G15" s="13">
        <v>0</v>
      </c>
      <c r="H15" s="13">
        <v>404000000</v>
      </c>
      <c r="I15" s="14">
        <v>0</v>
      </c>
      <c r="J15" s="13">
        <v>346575235</v>
      </c>
      <c r="K15" s="13">
        <v>346515235</v>
      </c>
      <c r="L15" s="13">
        <v>346515235</v>
      </c>
      <c r="M15" s="13">
        <v>346515235</v>
      </c>
      <c r="N15" s="15">
        <f t="shared" si="4"/>
        <v>0.85785949257425742</v>
      </c>
      <c r="O15" s="15">
        <f t="shared" si="5"/>
        <v>0.85771097772277227</v>
      </c>
    </row>
    <row r="16" spans="1:22" x14ac:dyDescent="0.25">
      <c r="A16" s="11" t="s">
        <v>60</v>
      </c>
      <c r="B16" s="12" t="s">
        <v>61</v>
      </c>
      <c r="C16" s="13">
        <v>287000000</v>
      </c>
      <c r="D16" s="13">
        <v>0</v>
      </c>
      <c r="E16" s="13">
        <v>0</v>
      </c>
      <c r="F16" s="14">
        <v>287000000</v>
      </c>
      <c r="G16" s="13">
        <v>0</v>
      </c>
      <c r="H16" s="13">
        <v>287000000</v>
      </c>
      <c r="I16" s="14">
        <v>0</v>
      </c>
      <c r="J16" s="13">
        <v>173989914</v>
      </c>
      <c r="K16" s="13">
        <v>173989914</v>
      </c>
      <c r="L16" s="13">
        <v>173989914</v>
      </c>
      <c r="M16" s="13">
        <v>173989914</v>
      </c>
      <c r="N16" s="15">
        <f t="shared" si="4"/>
        <v>0.60623663414634144</v>
      </c>
      <c r="O16" s="15">
        <f t="shared" si="5"/>
        <v>0.60623663414634144</v>
      </c>
    </row>
    <row r="17" spans="1:15" x14ac:dyDescent="0.25">
      <c r="A17" s="11" t="s">
        <v>62</v>
      </c>
      <c r="B17" s="12" t="s">
        <v>63</v>
      </c>
      <c r="C17" s="13">
        <v>60000000</v>
      </c>
      <c r="D17" s="13">
        <v>0</v>
      </c>
      <c r="E17" s="13">
        <v>0</v>
      </c>
      <c r="F17" s="14">
        <v>60000000</v>
      </c>
      <c r="G17" s="13">
        <v>0</v>
      </c>
      <c r="H17" s="13">
        <v>60000000</v>
      </c>
      <c r="I17" s="14">
        <v>0</v>
      </c>
      <c r="J17" s="13">
        <v>33133901</v>
      </c>
      <c r="K17" s="13">
        <v>33133901</v>
      </c>
      <c r="L17" s="13">
        <v>33133901</v>
      </c>
      <c r="M17" s="13">
        <v>33133901</v>
      </c>
      <c r="N17" s="15">
        <f t="shared" si="4"/>
        <v>0.55223168333333328</v>
      </c>
      <c r="O17" s="15">
        <f t="shared" si="5"/>
        <v>0.55223168333333328</v>
      </c>
    </row>
    <row r="18" spans="1:15" x14ac:dyDescent="0.25">
      <c r="A18" s="11" t="s">
        <v>64</v>
      </c>
      <c r="B18" s="12" t="s">
        <v>16</v>
      </c>
      <c r="C18" s="13">
        <v>850000000</v>
      </c>
      <c r="D18" s="13">
        <v>0</v>
      </c>
      <c r="E18" s="13">
        <v>20000000</v>
      </c>
      <c r="F18" s="14">
        <v>830000000</v>
      </c>
      <c r="G18" s="13">
        <v>0</v>
      </c>
      <c r="H18" s="13">
        <v>830000000</v>
      </c>
      <c r="I18" s="14">
        <v>0</v>
      </c>
      <c r="J18" s="13">
        <v>6302589</v>
      </c>
      <c r="K18" s="13">
        <v>6302589</v>
      </c>
      <c r="L18" s="13">
        <v>6302589</v>
      </c>
      <c r="M18" s="13">
        <v>6302589</v>
      </c>
      <c r="N18" s="15">
        <f t="shared" si="4"/>
        <v>7.5934807228915666E-3</v>
      </c>
      <c r="O18" s="15">
        <f t="shared" si="5"/>
        <v>7.5934807228915666E-3</v>
      </c>
    </row>
    <row r="19" spans="1:15" x14ac:dyDescent="0.25">
      <c r="A19" s="11" t="s">
        <v>65</v>
      </c>
      <c r="B19" s="12" t="s">
        <v>15</v>
      </c>
      <c r="C19" s="13">
        <v>487261000</v>
      </c>
      <c r="D19" s="13">
        <v>0</v>
      </c>
      <c r="E19" s="13">
        <v>0</v>
      </c>
      <c r="F19" s="14">
        <v>487261000</v>
      </c>
      <c r="G19" s="13">
        <v>0</v>
      </c>
      <c r="H19" s="13">
        <v>487261000</v>
      </c>
      <c r="I19" s="14">
        <v>0</v>
      </c>
      <c r="J19" s="13">
        <v>197066195</v>
      </c>
      <c r="K19" s="13">
        <v>197037437</v>
      </c>
      <c r="L19" s="13">
        <v>197037437</v>
      </c>
      <c r="M19" s="13">
        <v>197037437</v>
      </c>
      <c r="N19" s="15">
        <f t="shared" si="4"/>
        <v>0.40443662636656741</v>
      </c>
      <c r="O19" s="15">
        <f t="shared" si="5"/>
        <v>0.40437760666254841</v>
      </c>
    </row>
    <row r="20" spans="1:15" x14ac:dyDescent="0.25">
      <c r="A20" s="16" t="s">
        <v>66</v>
      </c>
      <c r="B20" s="17" t="s">
        <v>67</v>
      </c>
      <c r="C20" s="18">
        <f>SUM(C21:C29)</f>
        <v>3970666000</v>
      </c>
      <c r="D20" s="18">
        <f t="shared" ref="D20:E20" si="6">SUM(D21:D29)</f>
        <v>0</v>
      </c>
      <c r="E20" s="18">
        <f t="shared" si="6"/>
        <v>200000000</v>
      </c>
      <c r="F20" s="19">
        <f t="shared" si="2"/>
        <v>3770666000</v>
      </c>
      <c r="G20" s="18">
        <f t="shared" ref="G20:H20" si="7">SUM(G21:G29)</f>
        <v>0</v>
      </c>
      <c r="H20" s="18">
        <f t="shared" si="7"/>
        <v>3770666000</v>
      </c>
      <c r="I20" s="19">
        <f>+F20-G20-H20</f>
        <v>0</v>
      </c>
      <c r="J20" s="18">
        <f t="shared" ref="J20" si="8">SUM(J21:J29)</f>
        <v>2624263612</v>
      </c>
      <c r="K20" s="18">
        <f t="shared" ref="K20:M20" si="9">SUM(K21:K29)</f>
        <v>2624263612</v>
      </c>
      <c r="L20" s="18">
        <f t="shared" si="9"/>
        <v>2624263612</v>
      </c>
      <c r="M20" s="18">
        <f t="shared" si="9"/>
        <v>2624263612</v>
      </c>
      <c r="N20" s="20">
        <f t="shared" si="4"/>
        <v>0.6959681955389313</v>
      </c>
      <c r="O20" s="20">
        <f t="shared" si="5"/>
        <v>0.6959681955389313</v>
      </c>
    </row>
    <row r="21" spans="1:15" x14ac:dyDescent="0.25">
      <c r="A21" s="11" t="s">
        <v>68</v>
      </c>
      <c r="B21" s="12" t="s">
        <v>69</v>
      </c>
      <c r="C21" s="13">
        <v>1200666000</v>
      </c>
      <c r="D21" s="13">
        <v>0</v>
      </c>
      <c r="E21" s="13">
        <v>110000000</v>
      </c>
      <c r="F21" s="14">
        <v>1090666000</v>
      </c>
      <c r="G21" s="13">
        <v>0</v>
      </c>
      <c r="H21" s="13">
        <v>1090666000</v>
      </c>
      <c r="I21" s="14">
        <v>0</v>
      </c>
      <c r="J21" s="13">
        <v>797251075</v>
      </c>
      <c r="K21" s="13">
        <v>797251075</v>
      </c>
      <c r="L21" s="13">
        <v>797251075</v>
      </c>
      <c r="M21" s="13">
        <v>797251075</v>
      </c>
      <c r="N21" s="15">
        <f t="shared" si="4"/>
        <v>0.73097637131807536</v>
      </c>
      <c r="O21" s="15">
        <f t="shared" si="5"/>
        <v>0.73097637131807536</v>
      </c>
    </row>
    <row r="22" spans="1:15" x14ac:dyDescent="0.25">
      <c r="A22" s="11" t="s">
        <v>70</v>
      </c>
      <c r="B22" s="12" t="s">
        <v>71</v>
      </c>
      <c r="C22" s="13">
        <v>780000000</v>
      </c>
      <c r="D22" s="13">
        <v>0</v>
      </c>
      <c r="E22" s="13">
        <v>0</v>
      </c>
      <c r="F22" s="14">
        <v>780000000</v>
      </c>
      <c r="G22" s="13">
        <v>0</v>
      </c>
      <c r="H22" s="13">
        <v>780000000</v>
      </c>
      <c r="I22" s="14">
        <v>0</v>
      </c>
      <c r="J22" s="13">
        <v>564735052</v>
      </c>
      <c r="K22" s="13">
        <v>564735052</v>
      </c>
      <c r="L22" s="13">
        <v>564735052</v>
      </c>
      <c r="M22" s="13">
        <v>564735052</v>
      </c>
      <c r="N22" s="15">
        <f t="shared" si="4"/>
        <v>0.72401929743589744</v>
      </c>
      <c r="O22" s="15">
        <f t="shared" si="5"/>
        <v>0.72401929743589744</v>
      </c>
    </row>
    <row r="23" spans="1:15" x14ac:dyDescent="0.25">
      <c r="A23" s="11" t="s">
        <v>72</v>
      </c>
      <c r="B23" s="12" t="s">
        <v>73</v>
      </c>
      <c r="C23" s="13">
        <v>920000000</v>
      </c>
      <c r="D23" s="13">
        <v>0</v>
      </c>
      <c r="E23" s="13">
        <v>50000000</v>
      </c>
      <c r="F23" s="14">
        <v>870000000</v>
      </c>
      <c r="G23" s="13">
        <v>0</v>
      </c>
      <c r="H23" s="13">
        <v>870000000</v>
      </c>
      <c r="I23" s="14">
        <v>0</v>
      </c>
      <c r="J23" s="13">
        <v>599153985</v>
      </c>
      <c r="K23" s="13">
        <v>599153985</v>
      </c>
      <c r="L23" s="13">
        <v>599153985</v>
      </c>
      <c r="M23" s="13">
        <v>599153985</v>
      </c>
      <c r="N23" s="15">
        <f t="shared" si="4"/>
        <v>0.68868274137931029</v>
      </c>
      <c r="O23" s="15">
        <f t="shared" si="5"/>
        <v>0.68868274137931029</v>
      </c>
    </row>
    <row r="24" spans="1:15" x14ac:dyDescent="0.25">
      <c r="A24" s="11" t="s">
        <v>74</v>
      </c>
      <c r="B24" s="12" t="s">
        <v>75</v>
      </c>
      <c r="C24" s="13">
        <v>420000000</v>
      </c>
      <c r="D24" s="13">
        <v>0</v>
      </c>
      <c r="E24" s="13">
        <v>20000000</v>
      </c>
      <c r="F24" s="14">
        <v>400000000</v>
      </c>
      <c r="G24" s="13">
        <v>0</v>
      </c>
      <c r="H24" s="13">
        <v>400000000</v>
      </c>
      <c r="I24" s="14">
        <v>0</v>
      </c>
      <c r="J24" s="13">
        <v>278235100</v>
      </c>
      <c r="K24" s="13">
        <v>278235100</v>
      </c>
      <c r="L24" s="13">
        <v>278235100</v>
      </c>
      <c r="M24" s="13">
        <v>278235100</v>
      </c>
      <c r="N24" s="15">
        <f t="shared" si="4"/>
        <v>0.69558774999999995</v>
      </c>
      <c r="O24" s="15">
        <f t="shared" si="5"/>
        <v>0.69558774999999995</v>
      </c>
    </row>
    <row r="25" spans="1:15" ht="22.5" x14ac:dyDescent="0.25">
      <c r="A25" s="11" t="s">
        <v>76</v>
      </c>
      <c r="B25" s="12" t="s">
        <v>77</v>
      </c>
      <c r="C25" s="13">
        <v>70000000</v>
      </c>
      <c r="D25" s="13">
        <v>0</v>
      </c>
      <c r="E25" s="13">
        <v>0</v>
      </c>
      <c r="F25" s="14">
        <v>70000000</v>
      </c>
      <c r="G25" s="13">
        <v>0</v>
      </c>
      <c r="H25" s="13">
        <v>70000000</v>
      </c>
      <c r="I25" s="14">
        <v>0</v>
      </c>
      <c r="J25" s="13">
        <v>36903300</v>
      </c>
      <c r="K25" s="13">
        <v>36903300</v>
      </c>
      <c r="L25" s="13">
        <v>36903300</v>
      </c>
      <c r="M25" s="13">
        <v>36903300</v>
      </c>
      <c r="N25" s="15">
        <f t="shared" si="4"/>
        <v>0.52719000000000005</v>
      </c>
      <c r="O25" s="15">
        <f t="shared" si="5"/>
        <v>0.52719000000000005</v>
      </c>
    </row>
    <row r="26" spans="1:15" x14ac:dyDescent="0.25">
      <c r="A26" s="11" t="s">
        <v>78</v>
      </c>
      <c r="B26" s="12" t="s">
        <v>17</v>
      </c>
      <c r="C26" s="13">
        <v>320000000</v>
      </c>
      <c r="D26" s="13">
        <v>0</v>
      </c>
      <c r="E26" s="13">
        <v>20000000</v>
      </c>
      <c r="F26" s="14">
        <v>300000000</v>
      </c>
      <c r="G26" s="13">
        <v>0</v>
      </c>
      <c r="H26" s="13">
        <v>300000000</v>
      </c>
      <c r="I26" s="14">
        <v>0</v>
      </c>
      <c r="J26" s="13">
        <v>208678500</v>
      </c>
      <c r="K26" s="13">
        <v>208678500</v>
      </c>
      <c r="L26" s="13">
        <v>208678500</v>
      </c>
      <c r="M26" s="13">
        <v>208678500</v>
      </c>
      <c r="N26" s="15">
        <f t="shared" si="4"/>
        <v>0.69559499999999996</v>
      </c>
      <c r="O26" s="15">
        <f t="shared" si="5"/>
        <v>0.69559499999999996</v>
      </c>
    </row>
    <row r="27" spans="1:15" x14ac:dyDescent="0.25">
      <c r="A27" s="11" t="s">
        <v>79</v>
      </c>
      <c r="B27" s="12" t="s">
        <v>18</v>
      </c>
      <c r="C27" s="13">
        <v>70000000</v>
      </c>
      <c r="D27" s="13">
        <v>0</v>
      </c>
      <c r="E27" s="13">
        <v>0</v>
      </c>
      <c r="F27" s="14">
        <v>70000000</v>
      </c>
      <c r="G27" s="13">
        <v>0</v>
      </c>
      <c r="H27" s="13">
        <v>70000000</v>
      </c>
      <c r="I27" s="14">
        <v>0</v>
      </c>
      <c r="J27" s="13">
        <v>34844600</v>
      </c>
      <c r="K27" s="13">
        <v>34844600</v>
      </c>
      <c r="L27" s="13">
        <v>34844600</v>
      </c>
      <c r="M27" s="13">
        <v>34844600</v>
      </c>
      <c r="N27" s="15">
        <f t="shared" si="4"/>
        <v>0.49778</v>
      </c>
      <c r="O27" s="15">
        <f t="shared" si="5"/>
        <v>0.49778</v>
      </c>
    </row>
    <row r="28" spans="1:15" x14ac:dyDescent="0.25">
      <c r="A28" s="11" t="s">
        <v>80</v>
      </c>
      <c r="B28" s="12" t="s">
        <v>19</v>
      </c>
      <c r="C28" s="13">
        <v>70000000</v>
      </c>
      <c r="D28" s="13">
        <v>0</v>
      </c>
      <c r="E28" s="13">
        <v>0</v>
      </c>
      <c r="F28" s="14">
        <v>70000000</v>
      </c>
      <c r="G28" s="13">
        <v>0</v>
      </c>
      <c r="H28" s="13">
        <v>70000000</v>
      </c>
      <c r="I28" s="14">
        <v>0</v>
      </c>
      <c r="J28" s="13">
        <v>34844600</v>
      </c>
      <c r="K28" s="13">
        <v>34844600</v>
      </c>
      <c r="L28" s="13">
        <v>34844600</v>
      </c>
      <c r="M28" s="13">
        <v>34844600</v>
      </c>
      <c r="N28" s="15">
        <f t="shared" si="4"/>
        <v>0.49778</v>
      </c>
      <c r="O28" s="15">
        <f t="shared" si="5"/>
        <v>0.49778</v>
      </c>
    </row>
    <row r="29" spans="1:15" ht="22.5" x14ac:dyDescent="0.25">
      <c r="A29" s="11" t="s">
        <v>81</v>
      </c>
      <c r="B29" s="12" t="s">
        <v>82</v>
      </c>
      <c r="C29" s="13">
        <v>120000000</v>
      </c>
      <c r="D29" s="13">
        <v>0</v>
      </c>
      <c r="E29" s="13">
        <v>0</v>
      </c>
      <c r="F29" s="14">
        <v>120000000</v>
      </c>
      <c r="G29" s="13">
        <v>0</v>
      </c>
      <c r="H29" s="13">
        <v>120000000</v>
      </c>
      <c r="I29" s="14">
        <v>0</v>
      </c>
      <c r="J29" s="13">
        <v>69617400</v>
      </c>
      <c r="K29" s="13">
        <v>69617400</v>
      </c>
      <c r="L29" s="13">
        <v>69617400</v>
      </c>
      <c r="M29" s="13">
        <v>69617400</v>
      </c>
      <c r="N29" s="15">
        <f t="shared" si="4"/>
        <v>0.58014500000000002</v>
      </c>
      <c r="O29" s="15">
        <f t="shared" si="5"/>
        <v>0.58014500000000002</v>
      </c>
    </row>
    <row r="30" spans="1:15" ht="22.5" x14ac:dyDescent="0.25">
      <c r="A30" s="16" t="s">
        <v>83</v>
      </c>
      <c r="B30" s="17" t="s">
        <v>84</v>
      </c>
      <c r="C30" s="18">
        <f>SUM(C31:C35)</f>
        <v>698758000</v>
      </c>
      <c r="D30" s="18">
        <f t="shared" ref="D30:E30" si="10">SUM(D31:D35)</f>
        <v>167000000</v>
      </c>
      <c r="E30" s="18">
        <f t="shared" si="10"/>
        <v>167000000</v>
      </c>
      <c r="F30" s="19">
        <f t="shared" si="2"/>
        <v>698758000</v>
      </c>
      <c r="G30" s="18">
        <f t="shared" ref="G30:H30" si="11">SUM(G31:G35)</f>
        <v>0</v>
      </c>
      <c r="H30" s="18">
        <f t="shared" si="11"/>
        <v>698758000</v>
      </c>
      <c r="I30" s="19">
        <f>+F30-G30-H30</f>
        <v>0</v>
      </c>
      <c r="J30" s="18">
        <f t="shared" ref="J30" si="12">SUM(J31:J35)</f>
        <v>635723357</v>
      </c>
      <c r="K30" s="18">
        <f t="shared" ref="K30:M30" si="13">SUM(K31:K35)</f>
        <v>635683094</v>
      </c>
      <c r="L30" s="18">
        <f t="shared" si="13"/>
        <v>635683094</v>
      </c>
      <c r="M30" s="18">
        <f t="shared" si="13"/>
        <v>635683094</v>
      </c>
      <c r="N30" s="20">
        <f t="shared" si="4"/>
        <v>0.90979045248855828</v>
      </c>
      <c r="O30" s="20">
        <f t="shared" si="5"/>
        <v>0.90973283168135466</v>
      </c>
    </row>
    <row r="31" spans="1:15" x14ac:dyDescent="0.25">
      <c r="A31" s="11" t="s">
        <v>85</v>
      </c>
      <c r="B31" s="12" t="s">
        <v>86</v>
      </c>
      <c r="C31" s="13">
        <v>294262800</v>
      </c>
      <c r="D31" s="13">
        <v>16000000</v>
      </c>
      <c r="E31" s="13">
        <v>44000000</v>
      </c>
      <c r="F31" s="14">
        <v>266262800</v>
      </c>
      <c r="G31" s="13">
        <v>0</v>
      </c>
      <c r="H31" s="13">
        <v>266262800</v>
      </c>
      <c r="I31" s="14">
        <v>0</v>
      </c>
      <c r="J31" s="13">
        <v>250599739</v>
      </c>
      <c r="K31" s="13">
        <v>250559476</v>
      </c>
      <c r="L31" s="13">
        <v>250559476</v>
      </c>
      <c r="M31" s="13">
        <v>250559476</v>
      </c>
      <c r="N31" s="15">
        <f t="shared" si="4"/>
        <v>0.94117442992412004</v>
      </c>
      <c r="O31" s="15">
        <f t="shared" si="5"/>
        <v>0.9410232146586005</v>
      </c>
    </row>
    <row r="32" spans="1:15" x14ac:dyDescent="0.25">
      <c r="A32" s="11" t="s">
        <v>87</v>
      </c>
      <c r="B32" s="12" t="s">
        <v>88</v>
      </c>
      <c r="C32" s="13">
        <v>60000000</v>
      </c>
      <c r="D32" s="13">
        <v>31000000</v>
      </c>
      <c r="E32" s="13">
        <v>8000000</v>
      </c>
      <c r="F32" s="14">
        <v>83000000</v>
      </c>
      <c r="G32" s="13">
        <v>0</v>
      </c>
      <c r="H32" s="13">
        <v>83000000</v>
      </c>
      <c r="I32" s="14">
        <v>0</v>
      </c>
      <c r="J32" s="13">
        <v>77971694</v>
      </c>
      <c r="K32" s="13">
        <v>77971694</v>
      </c>
      <c r="L32" s="13">
        <v>77971694</v>
      </c>
      <c r="M32" s="13">
        <v>77971694</v>
      </c>
      <c r="N32" s="15">
        <f t="shared" si="4"/>
        <v>0.93941799999999998</v>
      </c>
      <c r="O32" s="15">
        <f t="shared" si="5"/>
        <v>0.93941799999999998</v>
      </c>
    </row>
    <row r="33" spans="1:22" x14ac:dyDescent="0.25">
      <c r="A33" s="11" t="s">
        <v>89</v>
      </c>
      <c r="B33" s="12" t="s">
        <v>90</v>
      </c>
      <c r="C33" s="13">
        <v>47548800</v>
      </c>
      <c r="D33" s="13">
        <v>0</v>
      </c>
      <c r="E33" s="13">
        <v>20000000</v>
      </c>
      <c r="F33" s="14">
        <v>27548800</v>
      </c>
      <c r="G33" s="13">
        <v>0</v>
      </c>
      <c r="H33" s="13">
        <v>27548800</v>
      </c>
      <c r="I33" s="14">
        <v>0</v>
      </c>
      <c r="J33" s="13">
        <v>23267906</v>
      </c>
      <c r="K33" s="13">
        <v>23267906</v>
      </c>
      <c r="L33" s="13">
        <v>23267906</v>
      </c>
      <c r="M33" s="13">
        <v>23267906</v>
      </c>
      <c r="N33" s="15">
        <f t="shared" si="4"/>
        <v>0.8446068794285051</v>
      </c>
      <c r="O33" s="15">
        <f t="shared" si="5"/>
        <v>0.8446068794285051</v>
      </c>
    </row>
    <row r="34" spans="1:22" x14ac:dyDescent="0.25">
      <c r="A34" s="11" t="s">
        <v>91</v>
      </c>
      <c r="B34" s="12" t="s">
        <v>92</v>
      </c>
      <c r="C34" s="13">
        <v>153946400</v>
      </c>
      <c r="D34" s="13">
        <v>120000000</v>
      </c>
      <c r="E34" s="13">
        <v>15000000</v>
      </c>
      <c r="F34" s="14">
        <v>258946400</v>
      </c>
      <c r="G34" s="13">
        <v>0</v>
      </c>
      <c r="H34" s="13">
        <v>258946400</v>
      </c>
      <c r="I34" s="14">
        <v>0</v>
      </c>
      <c r="J34" s="13">
        <v>230420259</v>
      </c>
      <c r="K34" s="13">
        <v>230420259</v>
      </c>
      <c r="L34" s="13">
        <v>230420259</v>
      </c>
      <c r="M34" s="13">
        <v>230420259</v>
      </c>
      <c r="N34" s="15">
        <f t="shared" si="4"/>
        <v>0.88983766138474985</v>
      </c>
      <c r="O34" s="15">
        <f t="shared" si="5"/>
        <v>0.88983766138474985</v>
      </c>
    </row>
    <row r="35" spans="1:22" x14ac:dyDescent="0.25">
      <c r="A35" s="11" t="s">
        <v>93</v>
      </c>
      <c r="B35" s="12" t="s">
        <v>94</v>
      </c>
      <c r="C35" s="13">
        <v>143000000</v>
      </c>
      <c r="D35" s="13">
        <v>0</v>
      </c>
      <c r="E35" s="13">
        <v>80000000</v>
      </c>
      <c r="F35" s="14">
        <v>63000000</v>
      </c>
      <c r="G35" s="13">
        <v>0</v>
      </c>
      <c r="H35" s="13">
        <v>63000000</v>
      </c>
      <c r="I35" s="14">
        <v>0</v>
      </c>
      <c r="J35" s="13">
        <v>53463759</v>
      </c>
      <c r="K35" s="13">
        <v>53463759</v>
      </c>
      <c r="L35" s="13">
        <v>53463759</v>
      </c>
      <c r="M35" s="13">
        <v>53463759</v>
      </c>
      <c r="N35" s="15">
        <f t="shared" si="4"/>
        <v>0.84863109523809521</v>
      </c>
      <c r="O35" s="15">
        <f t="shared" si="5"/>
        <v>0.84863109523809521</v>
      </c>
    </row>
    <row r="36" spans="1:22" ht="22.5" x14ac:dyDescent="0.25">
      <c r="A36" s="11" t="s">
        <v>180</v>
      </c>
      <c r="B36" s="12" t="s">
        <v>96</v>
      </c>
      <c r="C36" s="13">
        <v>0</v>
      </c>
      <c r="D36" s="13">
        <v>426504000</v>
      </c>
      <c r="E36" s="13">
        <v>0</v>
      </c>
      <c r="F36" s="14">
        <v>426504000</v>
      </c>
      <c r="G36" s="13">
        <v>0</v>
      </c>
      <c r="H36" s="13">
        <v>0</v>
      </c>
      <c r="I36" s="14">
        <v>426504000</v>
      </c>
      <c r="J36" s="13">
        <v>0</v>
      </c>
      <c r="K36" s="13">
        <v>0</v>
      </c>
      <c r="L36" s="13">
        <v>0</v>
      </c>
      <c r="M36" s="13">
        <v>0</v>
      </c>
      <c r="N36" s="15">
        <f t="shared" si="4"/>
        <v>0</v>
      </c>
      <c r="O36" s="15">
        <f t="shared" si="5"/>
        <v>0</v>
      </c>
    </row>
    <row r="37" spans="1:22" ht="22.5" x14ac:dyDescent="0.25">
      <c r="A37" s="11" t="s">
        <v>95</v>
      </c>
      <c r="B37" s="12" t="s">
        <v>96</v>
      </c>
      <c r="C37" s="13">
        <v>426504000</v>
      </c>
      <c r="D37" s="13">
        <v>0</v>
      </c>
      <c r="E37" s="13">
        <v>426504000</v>
      </c>
      <c r="F37" s="14">
        <v>0</v>
      </c>
      <c r="G37" s="13">
        <v>0</v>
      </c>
      <c r="H37" s="13">
        <v>0</v>
      </c>
      <c r="I37" s="14">
        <v>0</v>
      </c>
      <c r="J37" s="13">
        <v>0</v>
      </c>
      <c r="K37" s="13">
        <v>0</v>
      </c>
      <c r="L37" s="13">
        <v>0</v>
      </c>
      <c r="M37" s="13">
        <v>0</v>
      </c>
      <c r="N37" s="15">
        <v>0</v>
      </c>
      <c r="O37" s="15">
        <v>0</v>
      </c>
    </row>
    <row r="38" spans="1:22" s="3" customFormat="1" x14ac:dyDescent="0.25">
      <c r="A38" s="60" t="s">
        <v>29</v>
      </c>
      <c r="B38" s="60"/>
      <c r="C38" s="8">
        <f>+C39+C43</f>
        <v>9897753728</v>
      </c>
      <c r="D38" s="8">
        <f t="shared" ref="D38:M38" si="14">+D39+D43</f>
        <v>1257000000</v>
      </c>
      <c r="E38" s="8">
        <f t="shared" si="14"/>
        <v>1259058000</v>
      </c>
      <c r="F38" s="8">
        <f t="shared" si="14"/>
        <v>9895695728</v>
      </c>
      <c r="G38" s="8">
        <f t="shared" si="14"/>
        <v>0</v>
      </c>
      <c r="H38" s="8">
        <f t="shared" si="14"/>
        <v>9158962621.0600014</v>
      </c>
      <c r="I38" s="8">
        <f t="shared" si="14"/>
        <v>736733106.93999791</v>
      </c>
      <c r="J38" s="8">
        <f t="shared" si="14"/>
        <v>9072456183.3799973</v>
      </c>
      <c r="K38" s="8">
        <f t="shared" si="14"/>
        <v>7272011842.0500002</v>
      </c>
      <c r="L38" s="8">
        <f t="shared" si="14"/>
        <v>7202835133.79</v>
      </c>
      <c r="M38" s="8">
        <f t="shared" si="14"/>
        <v>7183914039.79</v>
      </c>
      <c r="N38" s="9">
        <f t="shared" si="4"/>
        <v>0.91680832078429453</v>
      </c>
      <c r="O38" s="10">
        <f t="shared" si="5"/>
        <v>0.73486615210628881</v>
      </c>
      <c r="P38" s="21"/>
      <c r="Q38" s="21"/>
      <c r="R38" s="21"/>
      <c r="S38" s="21"/>
      <c r="T38" s="21"/>
      <c r="U38" s="21"/>
      <c r="V38" s="21"/>
    </row>
    <row r="39" spans="1:22" x14ac:dyDescent="0.25">
      <c r="A39" s="16" t="s">
        <v>97</v>
      </c>
      <c r="B39" s="17" t="s">
        <v>98</v>
      </c>
      <c r="C39" s="18">
        <f>+C40</f>
        <v>135000000</v>
      </c>
      <c r="D39" s="18">
        <f t="shared" ref="D39:E39" si="15">+D40</f>
        <v>0</v>
      </c>
      <c r="E39" s="18">
        <f t="shared" si="15"/>
        <v>2058000</v>
      </c>
      <c r="F39" s="19">
        <f t="shared" ref="F39:F48" si="16">+C39+D39-E39</f>
        <v>132942000</v>
      </c>
      <c r="G39" s="18">
        <f t="shared" ref="G39:H39" si="17">+G40</f>
        <v>0</v>
      </c>
      <c r="H39" s="18">
        <f t="shared" si="17"/>
        <v>79895309.299999997</v>
      </c>
      <c r="I39" s="19">
        <f t="shared" ref="I39:I48" si="18">+F39-G39-H39</f>
        <v>53046690.700000003</v>
      </c>
      <c r="J39" s="18">
        <f t="shared" ref="J39:M39" si="19">+J40</f>
        <v>79895309.299999997</v>
      </c>
      <c r="K39" s="18">
        <f t="shared" si="19"/>
        <v>79895308.5</v>
      </c>
      <c r="L39" s="18">
        <f t="shared" si="19"/>
        <v>79895308.5</v>
      </c>
      <c r="M39" s="18">
        <f t="shared" si="19"/>
        <v>79895308.5</v>
      </c>
      <c r="N39" s="20">
        <f t="shared" si="4"/>
        <v>0.60097869221164113</v>
      </c>
      <c r="O39" s="20">
        <f t="shared" si="5"/>
        <v>0.60097868619397932</v>
      </c>
    </row>
    <row r="40" spans="1:22" x14ac:dyDescent="0.25">
      <c r="A40" s="16" t="s">
        <v>99</v>
      </c>
      <c r="B40" s="17" t="s">
        <v>100</v>
      </c>
      <c r="C40" s="18">
        <f>SUM(C41:C42)</f>
        <v>135000000</v>
      </c>
      <c r="D40" s="18">
        <f t="shared" ref="D40:E40" si="20">SUM(D41:D42)</f>
        <v>0</v>
      </c>
      <c r="E40" s="18">
        <f t="shared" si="20"/>
        <v>2058000</v>
      </c>
      <c r="F40" s="19">
        <f t="shared" si="16"/>
        <v>132942000</v>
      </c>
      <c r="G40" s="18">
        <f t="shared" ref="G40:H40" si="21">SUM(G41:G42)</f>
        <v>0</v>
      </c>
      <c r="H40" s="18">
        <f t="shared" si="21"/>
        <v>79895309.299999997</v>
      </c>
      <c r="I40" s="19">
        <f t="shared" si="18"/>
        <v>53046690.700000003</v>
      </c>
      <c r="J40" s="18">
        <f t="shared" ref="J40:M40" si="22">SUM(J41:J42)</f>
        <v>79895309.299999997</v>
      </c>
      <c r="K40" s="18">
        <f t="shared" si="22"/>
        <v>79895308.5</v>
      </c>
      <c r="L40" s="18">
        <f t="shared" si="22"/>
        <v>79895308.5</v>
      </c>
      <c r="M40" s="18">
        <f t="shared" si="22"/>
        <v>79895308.5</v>
      </c>
      <c r="N40" s="20">
        <f t="shared" si="4"/>
        <v>0.60097869221164113</v>
      </c>
      <c r="O40" s="20">
        <f t="shared" si="5"/>
        <v>0.60097868619397932</v>
      </c>
    </row>
    <row r="41" spans="1:22" x14ac:dyDescent="0.25">
      <c r="A41" s="11" t="s">
        <v>101</v>
      </c>
      <c r="B41" s="12" t="s">
        <v>103</v>
      </c>
      <c r="C41" s="13">
        <v>40000000</v>
      </c>
      <c r="D41" s="13">
        <v>0</v>
      </c>
      <c r="E41" s="13">
        <v>0</v>
      </c>
      <c r="F41" s="14">
        <v>40000000</v>
      </c>
      <c r="G41" s="13">
        <v>0</v>
      </c>
      <c r="H41" s="13">
        <v>3935000</v>
      </c>
      <c r="I41" s="14">
        <v>36065000</v>
      </c>
      <c r="J41" s="13">
        <v>3935000</v>
      </c>
      <c r="K41" s="13">
        <v>3935000</v>
      </c>
      <c r="L41" s="13">
        <v>3935000</v>
      </c>
      <c r="M41" s="13">
        <v>3935000</v>
      </c>
      <c r="N41" s="15">
        <f t="shared" si="4"/>
        <v>9.8375000000000004E-2</v>
      </c>
      <c r="O41" s="15">
        <f t="shared" si="5"/>
        <v>9.8375000000000004E-2</v>
      </c>
    </row>
    <row r="42" spans="1:22" x14ac:dyDescent="0.25">
      <c r="A42" s="11" t="s">
        <v>102</v>
      </c>
      <c r="B42" s="12" t="s">
        <v>104</v>
      </c>
      <c r="C42" s="13">
        <v>95000000</v>
      </c>
      <c r="D42" s="13">
        <v>0</v>
      </c>
      <c r="E42" s="13">
        <v>2058000</v>
      </c>
      <c r="F42" s="14">
        <v>92942000</v>
      </c>
      <c r="G42" s="13">
        <v>0</v>
      </c>
      <c r="H42" s="13">
        <v>75960309.299999997</v>
      </c>
      <c r="I42" s="14">
        <v>16981690.699999999</v>
      </c>
      <c r="J42" s="13">
        <v>75960309.299999997</v>
      </c>
      <c r="K42" s="13">
        <v>75960308.5</v>
      </c>
      <c r="L42" s="13">
        <v>75960308.5</v>
      </c>
      <c r="M42" s="13">
        <v>75960308.5</v>
      </c>
      <c r="N42" s="15">
        <f t="shared" si="4"/>
        <v>0.81728722536635745</v>
      </c>
      <c r="O42" s="15">
        <f t="shared" si="5"/>
        <v>0.81728721675883886</v>
      </c>
    </row>
    <row r="43" spans="1:22" x14ac:dyDescent="0.25">
      <c r="A43" s="16" t="s">
        <v>105</v>
      </c>
      <c r="B43" s="17" t="s">
        <v>106</v>
      </c>
      <c r="C43" s="18">
        <f>+C44+C48</f>
        <v>9762753728</v>
      </c>
      <c r="D43" s="18">
        <f t="shared" ref="D43:E43" si="23">+D44+D48</f>
        <v>1257000000</v>
      </c>
      <c r="E43" s="18">
        <f t="shared" si="23"/>
        <v>1257000000</v>
      </c>
      <c r="F43" s="19">
        <f t="shared" si="16"/>
        <v>9762753728</v>
      </c>
      <c r="G43" s="18">
        <f t="shared" ref="G43:H43" si="24">+G44+G48</f>
        <v>0</v>
      </c>
      <c r="H43" s="18">
        <f t="shared" si="24"/>
        <v>9079067311.7600021</v>
      </c>
      <c r="I43" s="19">
        <f t="shared" si="18"/>
        <v>683686416.23999786</v>
      </c>
      <c r="J43" s="18">
        <f t="shared" ref="J43:M43" si="25">+J44+J48</f>
        <v>8992560874.079998</v>
      </c>
      <c r="K43" s="18">
        <f t="shared" si="25"/>
        <v>7192116533.5500002</v>
      </c>
      <c r="L43" s="18">
        <f t="shared" si="25"/>
        <v>7122939825.29</v>
      </c>
      <c r="M43" s="18">
        <f t="shared" si="25"/>
        <v>7104018731.29</v>
      </c>
      <c r="N43" s="20">
        <f t="shared" si="4"/>
        <v>0.92110905638118723</v>
      </c>
      <c r="O43" s="20">
        <f t="shared" si="5"/>
        <v>0.73668933314610807</v>
      </c>
    </row>
    <row r="44" spans="1:22" x14ac:dyDescent="0.25">
      <c r="A44" s="16" t="s">
        <v>107</v>
      </c>
      <c r="B44" s="17" t="s">
        <v>108</v>
      </c>
      <c r="C44" s="18">
        <f>SUM(C45:C47)</f>
        <v>92000000</v>
      </c>
      <c r="D44" s="18">
        <f t="shared" ref="D44:H44" si="26">SUM(D45:D47)</f>
        <v>72000000</v>
      </c>
      <c r="E44" s="18">
        <f t="shared" si="26"/>
        <v>0</v>
      </c>
      <c r="F44" s="19">
        <f>+C44+D44-E44</f>
        <v>164000000</v>
      </c>
      <c r="G44" s="18">
        <f t="shared" si="26"/>
        <v>0</v>
      </c>
      <c r="H44" s="18">
        <f t="shared" si="26"/>
        <v>130393527.53999999</v>
      </c>
      <c r="I44" s="19">
        <f t="shared" si="18"/>
        <v>33606472.460000008</v>
      </c>
      <c r="J44" s="18">
        <f t="shared" ref="J44" si="27">SUM(J45:J47)</f>
        <v>119482290.21000001</v>
      </c>
      <c r="K44" s="18">
        <f t="shared" ref="K44:M44" si="28">SUM(K45:K47)</f>
        <v>75991898.25999999</v>
      </c>
      <c r="L44" s="18">
        <f t="shared" si="28"/>
        <v>69244058</v>
      </c>
      <c r="M44" s="18">
        <f t="shared" si="28"/>
        <v>69244058</v>
      </c>
      <c r="N44" s="20">
        <f t="shared" si="4"/>
        <v>0.72855055006097569</v>
      </c>
      <c r="O44" s="20">
        <f t="shared" si="5"/>
        <v>0.46336523329268287</v>
      </c>
    </row>
    <row r="45" spans="1:22" ht="22.5" x14ac:dyDescent="0.25">
      <c r="A45" s="11" t="s">
        <v>109</v>
      </c>
      <c r="B45" s="12" t="s">
        <v>111</v>
      </c>
      <c r="C45" s="13">
        <v>15000000</v>
      </c>
      <c r="D45" s="13">
        <v>13000000</v>
      </c>
      <c r="E45" s="13">
        <v>0</v>
      </c>
      <c r="F45" s="14">
        <v>28000000</v>
      </c>
      <c r="G45" s="13">
        <v>0</v>
      </c>
      <c r="H45" s="13">
        <v>11891890</v>
      </c>
      <c r="I45" s="14">
        <v>16108110</v>
      </c>
      <c r="J45" s="13">
        <v>11891890</v>
      </c>
      <c r="K45" s="13">
        <v>443890</v>
      </c>
      <c r="L45" s="13">
        <v>443890</v>
      </c>
      <c r="M45" s="13">
        <v>443890</v>
      </c>
      <c r="N45" s="15">
        <f t="shared" si="4"/>
        <v>0.42471035714285715</v>
      </c>
      <c r="O45" s="15">
        <f t="shared" si="5"/>
        <v>1.5853214285714286E-2</v>
      </c>
    </row>
    <row r="46" spans="1:22" ht="22.5" x14ac:dyDescent="0.25">
      <c r="A46" s="11" t="s">
        <v>110</v>
      </c>
      <c r="B46" s="12" t="s">
        <v>112</v>
      </c>
      <c r="C46" s="13">
        <v>45000000</v>
      </c>
      <c r="D46" s="13">
        <v>22000000</v>
      </c>
      <c r="E46" s="13">
        <v>0</v>
      </c>
      <c r="F46" s="14">
        <v>67000000</v>
      </c>
      <c r="G46" s="13">
        <v>0</v>
      </c>
      <c r="H46" s="13">
        <v>59022259</v>
      </c>
      <c r="I46" s="14">
        <v>7977741</v>
      </c>
      <c r="J46" s="13">
        <v>59022259</v>
      </c>
      <c r="K46" s="13">
        <v>41531318</v>
      </c>
      <c r="L46" s="13">
        <v>41531318</v>
      </c>
      <c r="M46" s="13">
        <v>41531318</v>
      </c>
      <c r="N46" s="15">
        <f t="shared" si="4"/>
        <v>0.88092923880597018</v>
      </c>
      <c r="O46" s="15">
        <f t="shared" si="5"/>
        <v>0.61987041791044772</v>
      </c>
    </row>
    <row r="47" spans="1:22" x14ac:dyDescent="0.25">
      <c r="A47" s="11" t="s">
        <v>113</v>
      </c>
      <c r="B47" s="12" t="s">
        <v>114</v>
      </c>
      <c r="C47" s="13">
        <v>32000000</v>
      </c>
      <c r="D47" s="13">
        <v>37000000</v>
      </c>
      <c r="E47" s="13">
        <v>0</v>
      </c>
      <c r="F47" s="14">
        <v>69000000</v>
      </c>
      <c r="G47" s="13">
        <v>0</v>
      </c>
      <c r="H47" s="13">
        <v>59479378.539999999</v>
      </c>
      <c r="I47" s="14">
        <v>9520621.4600000009</v>
      </c>
      <c r="J47" s="13">
        <v>48568141.210000001</v>
      </c>
      <c r="K47" s="13">
        <v>34016690.259999998</v>
      </c>
      <c r="L47" s="13">
        <v>27268850</v>
      </c>
      <c r="M47" s="13">
        <v>27268850</v>
      </c>
      <c r="N47" s="15">
        <f t="shared" si="4"/>
        <v>0.70388610449275368</v>
      </c>
      <c r="O47" s="15">
        <f t="shared" si="5"/>
        <v>0.49299551101449274</v>
      </c>
    </row>
    <row r="48" spans="1:22" x14ac:dyDescent="0.25">
      <c r="A48" s="16" t="s">
        <v>115</v>
      </c>
      <c r="B48" s="17" t="s">
        <v>116</v>
      </c>
      <c r="C48" s="18">
        <f>SUM(C49:C53)</f>
        <v>9670753728</v>
      </c>
      <c r="D48" s="18">
        <f t="shared" ref="D48:E48" si="29">SUM(D49:D53)</f>
        <v>1185000000</v>
      </c>
      <c r="E48" s="18">
        <f t="shared" si="29"/>
        <v>1257000000</v>
      </c>
      <c r="F48" s="19">
        <f t="shared" si="16"/>
        <v>9598753728</v>
      </c>
      <c r="G48" s="18">
        <f t="shared" ref="G48:H48" si="30">SUM(G49:G53)</f>
        <v>0</v>
      </c>
      <c r="H48" s="18">
        <f t="shared" si="30"/>
        <v>8948673784.2200012</v>
      </c>
      <c r="I48" s="19">
        <f t="shared" si="18"/>
        <v>650079943.77999878</v>
      </c>
      <c r="J48" s="18">
        <f t="shared" ref="J48:M48" si="31">SUM(J49:J53)</f>
        <v>8873078583.8699989</v>
      </c>
      <c r="K48" s="18">
        <f t="shared" si="31"/>
        <v>7116124635.29</v>
      </c>
      <c r="L48" s="18">
        <f t="shared" si="31"/>
        <v>7053695767.29</v>
      </c>
      <c r="M48" s="18">
        <f t="shared" si="31"/>
        <v>7034774673.29</v>
      </c>
      <c r="N48" s="20">
        <f t="shared" si="4"/>
        <v>0.92439902463450296</v>
      </c>
      <c r="O48" s="20">
        <f t="shared" si="5"/>
        <v>0.74135922609744032</v>
      </c>
    </row>
    <row r="49" spans="1:22" ht="45" x14ac:dyDescent="0.25">
      <c r="A49" s="11" t="s">
        <v>117</v>
      </c>
      <c r="B49" s="12" t="s">
        <v>122</v>
      </c>
      <c r="C49" s="13">
        <v>1188000000</v>
      </c>
      <c r="D49" s="13">
        <v>5000000</v>
      </c>
      <c r="E49" s="13">
        <v>30000000</v>
      </c>
      <c r="F49" s="14">
        <v>1163000000</v>
      </c>
      <c r="G49" s="13">
        <v>0</v>
      </c>
      <c r="H49" s="13">
        <v>1146936843</v>
      </c>
      <c r="I49" s="14">
        <v>16063157</v>
      </c>
      <c r="J49" s="27">
        <v>1130788496</v>
      </c>
      <c r="K49" s="27">
        <v>609969329</v>
      </c>
      <c r="L49" s="27">
        <v>565349789</v>
      </c>
      <c r="M49" s="27">
        <v>565349789</v>
      </c>
      <c r="N49" s="15">
        <f t="shared" si="4"/>
        <v>0.97230309200343934</v>
      </c>
      <c r="O49" s="15">
        <f t="shared" si="5"/>
        <v>0.5244792166809974</v>
      </c>
    </row>
    <row r="50" spans="1:22" ht="22.5" x14ac:dyDescent="0.25">
      <c r="A50" s="11" t="s">
        <v>118</v>
      </c>
      <c r="B50" s="12" t="s">
        <v>123</v>
      </c>
      <c r="C50" s="13">
        <v>6025950512</v>
      </c>
      <c r="D50" s="13">
        <v>0</v>
      </c>
      <c r="E50" s="13">
        <v>1000000000</v>
      </c>
      <c r="F50" s="14">
        <v>5025950512</v>
      </c>
      <c r="G50" s="13">
        <v>0</v>
      </c>
      <c r="H50" s="13">
        <v>4923294504</v>
      </c>
      <c r="I50" s="14">
        <v>102656008</v>
      </c>
      <c r="J50" s="27">
        <v>4923294504</v>
      </c>
      <c r="K50" s="27">
        <v>4879123926</v>
      </c>
      <c r="L50" s="27">
        <v>4877061419</v>
      </c>
      <c r="M50" s="27">
        <v>4877061419</v>
      </c>
      <c r="N50" s="15">
        <f t="shared" si="4"/>
        <v>0.979574807241954</v>
      </c>
      <c r="O50" s="15">
        <f t="shared" si="5"/>
        <v>0.97078630486921114</v>
      </c>
    </row>
    <row r="51" spans="1:22" ht="22.5" x14ac:dyDescent="0.25">
      <c r="A51" s="11" t="s">
        <v>119</v>
      </c>
      <c r="B51" s="12" t="s">
        <v>124</v>
      </c>
      <c r="C51" s="13">
        <v>1424556980</v>
      </c>
      <c r="D51" s="13">
        <v>863000000</v>
      </c>
      <c r="E51" s="13">
        <v>227000000</v>
      </c>
      <c r="F51" s="14">
        <v>2060556980</v>
      </c>
      <c r="G51" s="13">
        <v>0</v>
      </c>
      <c r="H51" s="13">
        <v>1876731968.22</v>
      </c>
      <c r="I51" s="14">
        <v>183825011.78</v>
      </c>
      <c r="J51" s="27">
        <v>1851960246.8699999</v>
      </c>
      <c r="K51" s="27">
        <v>1129812229.29</v>
      </c>
      <c r="L51" s="27">
        <v>1129812229.29</v>
      </c>
      <c r="M51" s="27">
        <v>1129812229.29</v>
      </c>
      <c r="N51" s="15">
        <f t="shared" si="4"/>
        <v>0.89876682122617157</v>
      </c>
      <c r="O51" s="15">
        <f t="shared" si="5"/>
        <v>0.54830428872197456</v>
      </c>
    </row>
    <row r="52" spans="1:22" ht="22.5" x14ac:dyDescent="0.25">
      <c r="A52" s="11" t="s">
        <v>120</v>
      </c>
      <c r="B52" s="12" t="s">
        <v>125</v>
      </c>
      <c r="C52" s="13">
        <v>732246236</v>
      </c>
      <c r="D52" s="13">
        <v>287000000</v>
      </c>
      <c r="E52" s="13">
        <v>0</v>
      </c>
      <c r="F52" s="14">
        <v>1019246236</v>
      </c>
      <c r="G52" s="13">
        <v>0</v>
      </c>
      <c r="H52" s="13">
        <v>718660736</v>
      </c>
      <c r="I52" s="14">
        <v>300585500</v>
      </c>
      <c r="J52" s="27">
        <v>698556294</v>
      </c>
      <c r="K52" s="27">
        <v>228740108</v>
      </c>
      <c r="L52" s="27">
        <v>212993287</v>
      </c>
      <c r="M52" s="27">
        <v>212993287</v>
      </c>
      <c r="N52" s="15">
        <f t="shared" si="4"/>
        <v>0.68536558618206167</v>
      </c>
      <c r="O52" s="15">
        <f t="shared" si="5"/>
        <v>0.22442085133194448</v>
      </c>
    </row>
    <row r="53" spans="1:22" x14ac:dyDescent="0.25">
      <c r="A53" s="11" t="s">
        <v>121</v>
      </c>
      <c r="B53" s="12" t="s">
        <v>126</v>
      </c>
      <c r="C53" s="13">
        <v>300000000</v>
      </c>
      <c r="D53" s="13">
        <v>30000000</v>
      </c>
      <c r="E53" s="13">
        <v>0</v>
      </c>
      <c r="F53" s="14">
        <v>330000000</v>
      </c>
      <c r="G53" s="13">
        <v>0</v>
      </c>
      <c r="H53" s="13">
        <v>283049733</v>
      </c>
      <c r="I53" s="14">
        <v>46950267</v>
      </c>
      <c r="J53" s="27">
        <v>268479043</v>
      </c>
      <c r="K53" s="27">
        <v>268479043</v>
      </c>
      <c r="L53" s="27">
        <v>268479043</v>
      </c>
      <c r="M53" s="27">
        <v>249557949</v>
      </c>
      <c r="N53" s="15">
        <f t="shared" si="4"/>
        <v>0.81357285757575759</v>
      </c>
      <c r="O53" s="15">
        <f t="shared" si="5"/>
        <v>0.81357285757575759</v>
      </c>
    </row>
    <row r="54" spans="1:22" s="3" customFormat="1" x14ac:dyDescent="0.25">
      <c r="A54" s="60" t="s">
        <v>30</v>
      </c>
      <c r="B54" s="60"/>
      <c r="C54" s="8">
        <f>SUM(C55:C58)</f>
        <v>3649320000</v>
      </c>
      <c r="D54" s="8">
        <f>SUM(D55:D58)</f>
        <v>115419340</v>
      </c>
      <c r="E54" s="8">
        <f t="shared" ref="E54" si="32">SUM(E55:E58)</f>
        <v>115419340</v>
      </c>
      <c r="F54" s="8">
        <f>SUM(F55:F58)</f>
        <v>3649320000</v>
      </c>
      <c r="G54" s="8">
        <f t="shared" ref="G54:M54" si="33">SUM(G55:G58)</f>
        <v>2435000000</v>
      </c>
      <c r="H54" s="8">
        <f t="shared" si="33"/>
        <v>99860000</v>
      </c>
      <c r="I54" s="8">
        <f t="shared" si="33"/>
        <v>1114460000</v>
      </c>
      <c r="J54" s="8">
        <f t="shared" si="33"/>
        <v>65578136</v>
      </c>
      <c r="K54" s="8">
        <f t="shared" si="33"/>
        <v>65351002</v>
      </c>
      <c r="L54" s="8">
        <f t="shared" si="33"/>
        <v>65351002</v>
      </c>
      <c r="M54" s="8">
        <f t="shared" si="33"/>
        <v>65351002</v>
      </c>
      <c r="N54" s="9">
        <f t="shared" si="4"/>
        <v>1.7969960430984401E-2</v>
      </c>
      <c r="O54" s="10">
        <f t="shared" si="5"/>
        <v>1.7907720342419959E-2</v>
      </c>
      <c r="P54" s="21"/>
      <c r="Q54" s="21"/>
      <c r="R54" s="21"/>
      <c r="S54" s="21"/>
      <c r="T54" s="21"/>
      <c r="U54" s="21"/>
      <c r="V54" s="21"/>
    </row>
    <row r="55" spans="1:22" x14ac:dyDescent="0.25">
      <c r="A55" s="28" t="s">
        <v>127</v>
      </c>
      <c r="B55" s="29" t="s">
        <v>130</v>
      </c>
      <c r="C55" s="30">
        <v>2435000000</v>
      </c>
      <c r="D55" s="30">
        <v>0</v>
      </c>
      <c r="E55" s="30">
        <v>0</v>
      </c>
      <c r="F55" s="31">
        <v>2435000000</v>
      </c>
      <c r="G55" s="30">
        <v>2435000000</v>
      </c>
      <c r="H55" s="30">
        <v>0</v>
      </c>
      <c r="I55" s="31">
        <v>0</v>
      </c>
      <c r="J55" s="30">
        <v>0</v>
      </c>
      <c r="K55" s="30">
        <v>0</v>
      </c>
      <c r="L55" s="30">
        <v>0</v>
      </c>
      <c r="M55" s="30">
        <v>0</v>
      </c>
      <c r="N55" s="32">
        <f t="shared" si="4"/>
        <v>0</v>
      </c>
      <c r="O55" s="32">
        <f t="shared" si="5"/>
        <v>0</v>
      </c>
    </row>
    <row r="56" spans="1:22" x14ac:dyDescent="0.25">
      <c r="A56" s="11" t="s">
        <v>146</v>
      </c>
      <c r="B56" s="12" t="s">
        <v>148</v>
      </c>
      <c r="C56" s="13">
        <v>99860000</v>
      </c>
      <c r="D56" s="13">
        <v>95419340</v>
      </c>
      <c r="E56" s="13">
        <v>115419340</v>
      </c>
      <c r="F56" s="14">
        <v>79860000</v>
      </c>
      <c r="G56" s="13">
        <v>0</v>
      </c>
      <c r="H56" s="13">
        <v>79860000</v>
      </c>
      <c r="I56" s="14">
        <v>0</v>
      </c>
      <c r="J56" s="13">
        <v>58210828</v>
      </c>
      <c r="K56" s="13">
        <v>57983694</v>
      </c>
      <c r="L56" s="13">
        <v>57983694</v>
      </c>
      <c r="M56" s="13">
        <v>57983694</v>
      </c>
      <c r="N56" s="15">
        <f t="shared" si="4"/>
        <v>0.72891094415226643</v>
      </c>
      <c r="O56" s="15">
        <f t="shared" si="5"/>
        <v>0.72606679188580014</v>
      </c>
    </row>
    <row r="57" spans="1:22" ht="22.5" x14ac:dyDescent="0.25">
      <c r="A57" s="11" t="s">
        <v>147</v>
      </c>
      <c r="B57" s="12" t="s">
        <v>149</v>
      </c>
      <c r="C57" s="13">
        <v>0</v>
      </c>
      <c r="D57" s="13">
        <v>20000000</v>
      </c>
      <c r="E57" s="13">
        <v>0</v>
      </c>
      <c r="F57" s="14">
        <v>20000000</v>
      </c>
      <c r="G57" s="13">
        <v>0</v>
      </c>
      <c r="H57" s="13">
        <v>20000000</v>
      </c>
      <c r="I57" s="14">
        <v>0</v>
      </c>
      <c r="J57" s="13">
        <v>7367308</v>
      </c>
      <c r="K57" s="13">
        <v>7367308</v>
      </c>
      <c r="L57" s="13">
        <v>7367308</v>
      </c>
      <c r="M57" s="13">
        <v>7367308</v>
      </c>
      <c r="N57" s="15">
        <f t="shared" si="4"/>
        <v>0.36836540000000001</v>
      </c>
      <c r="O57" s="15">
        <f t="shared" si="5"/>
        <v>0.36836540000000001</v>
      </c>
    </row>
    <row r="58" spans="1:22" x14ac:dyDescent="0.25">
      <c r="A58" s="11" t="s">
        <v>129</v>
      </c>
      <c r="B58" s="12" t="s">
        <v>132</v>
      </c>
      <c r="C58" s="13">
        <v>1114460000</v>
      </c>
      <c r="D58" s="13">
        <v>0</v>
      </c>
      <c r="E58" s="13">
        <v>0</v>
      </c>
      <c r="F58" s="14">
        <v>1114460000</v>
      </c>
      <c r="G58" s="13">
        <v>0</v>
      </c>
      <c r="H58" s="13">
        <v>0</v>
      </c>
      <c r="I58" s="14">
        <v>1114460000</v>
      </c>
      <c r="J58" s="13">
        <v>0</v>
      </c>
      <c r="K58" s="13">
        <v>0</v>
      </c>
      <c r="L58" s="13">
        <v>0</v>
      </c>
      <c r="M58" s="13">
        <v>0</v>
      </c>
      <c r="N58" s="15">
        <f t="shared" si="4"/>
        <v>0</v>
      </c>
      <c r="O58" s="15">
        <f t="shared" si="5"/>
        <v>0</v>
      </c>
    </row>
    <row r="59" spans="1:22" s="3" customFormat="1" x14ac:dyDescent="0.25">
      <c r="A59" s="60" t="s">
        <v>31</v>
      </c>
      <c r="B59" s="60"/>
      <c r="C59" s="8">
        <f>+C60+C64</f>
        <v>65700000</v>
      </c>
      <c r="D59" s="8">
        <f t="shared" ref="D59:M59" si="34">+D60+D64</f>
        <v>2078000</v>
      </c>
      <c r="E59" s="8">
        <f t="shared" si="34"/>
        <v>20000</v>
      </c>
      <c r="F59" s="8">
        <f t="shared" si="34"/>
        <v>67758000</v>
      </c>
      <c r="G59" s="8">
        <f t="shared" si="34"/>
        <v>0</v>
      </c>
      <c r="H59" s="8">
        <f t="shared" si="34"/>
        <v>12758000</v>
      </c>
      <c r="I59" s="8">
        <f t="shared" si="34"/>
        <v>55000000</v>
      </c>
      <c r="J59" s="8">
        <f t="shared" si="34"/>
        <v>12758000</v>
      </c>
      <c r="K59" s="8">
        <f t="shared" si="34"/>
        <v>12758000</v>
      </c>
      <c r="L59" s="8">
        <f t="shared" si="34"/>
        <v>12758000</v>
      </c>
      <c r="M59" s="8">
        <f t="shared" si="34"/>
        <v>12758000</v>
      </c>
      <c r="N59" s="9">
        <f t="shared" si="4"/>
        <v>0.1882877298621565</v>
      </c>
      <c r="O59" s="10">
        <f t="shared" si="5"/>
        <v>0.1882877298621565</v>
      </c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133</v>
      </c>
      <c r="B60" s="17" t="s">
        <v>134</v>
      </c>
      <c r="C60" s="18">
        <f>+C61</f>
        <v>10700000</v>
      </c>
      <c r="D60" s="18">
        <f t="shared" ref="D60:E60" si="35">+D61</f>
        <v>2078000</v>
      </c>
      <c r="E60" s="18">
        <f t="shared" si="35"/>
        <v>20000</v>
      </c>
      <c r="F60" s="19">
        <f t="shared" ref="F60:F61" si="36">+C60+D60-E60</f>
        <v>12758000</v>
      </c>
      <c r="G60" s="18">
        <f t="shared" ref="G60:H60" si="37">+G61</f>
        <v>0</v>
      </c>
      <c r="H60" s="18">
        <f t="shared" si="37"/>
        <v>12758000</v>
      </c>
      <c r="I60" s="19">
        <f t="shared" ref="I60:I61" si="38">+F60-G60-H60</f>
        <v>0</v>
      </c>
      <c r="J60" s="18">
        <f t="shared" ref="J60:M60" si="39">+J61</f>
        <v>12758000</v>
      </c>
      <c r="K60" s="18">
        <f t="shared" si="39"/>
        <v>12758000</v>
      </c>
      <c r="L60" s="18">
        <f t="shared" si="39"/>
        <v>12758000</v>
      </c>
      <c r="M60" s="18">
        <f t="shared" si="39"/>
        <v>12758000</v>
      </c>
      <c r="N60" s="20">
        <f t="shared" si="4"/>
        <v>1</v>
      </c>
      <c r="O60" s="20">
        <f t="shared" si="5"/>
        <v>1</v>
      </c>
    </row>
    <row r="61" spans="1:22" x14ac:dyDescent="0.25">
      <c r="A61" s="16" t="s">
        <v>135</v>
      </c>
      <c r="B61" s="17" t="s">
        <v>136</v>
      </c>
      <c r="C61" s="18">
        <f>SUM(C62:C63)</f>
        <v>10700000</v>
      </c>
      <c r="D61" s="18">
        <f t="shared" ref="D61:E61" si="40">SUM(D62:D63)</f>
        <v>2078000</v>
      </c>
      <c r="E61" s="18">
        <f t="shared" si="40"/>
        <v>20000</v>
      </c>
      <c r="F61" s="19">
        <f t="shared" si="36"/>
        <v>12758000</v>
      </c>
      <c r="G61" s="18">
        <f t="shared" ref="G61:H61" si="41">SUM(G62:G63)</f>
        <v>0</v>
      </c>
      <c r="H61" s="18">
        <f t="shared" si="41"/>
        <v>12758000</v>
      </c>
      <c r="I61" s="19">
        <f t="shared" si="38"/>
        <v>0</v>
      </c>
      <c r="J61" s="18">
        <f t="shared" ref="J61:M61" si="42">SUM(J62:J63)</f>
        <v>12758000</v>
      </c>
      <c r="K61" s="18">
        <f t="shared" si="42"/>
        <v>12758000</v>
      </c>
      <c r="L61" s="18">
        <f t="shared" si="42"/>
        <v>12758000</v>
      </c>
      <c r="M61" s="18">
        <f t="shared" si="42"/>
        <v>12758000</v>
      </c>
      <c r="N61" s="20">
        <f t="shared" si="4"/>
        <v>1</v>
      </c>
      <c r="O61" s="20">
        <f t="shared" si="5"/>
        <v>1</v>
      </c>
    </row>
    <row r="62" spans="1:22" x14ac:dyDescent="0.25">
      <c r="A62" s="11" t="s">
        <v>137</v>
      </c>
      <c r="B62" s="12" t="s">
        <v>139</v>
      </c>
      <c r="C62" s="13">
        <v>10350000</v>
      </c>
      <c r="D62" s="13">
        <v>2078000</v>
      </c>
      <c r="E62" s="13">
        <v>0</v>
      </c>
      <c r="F62" s="14">
        <v>12428000</v>
      </c>
      <c r="G62" s="13">
        <v>0</v>
      </c>
      <c r="H62" s="13">
        <v>12428000</v>
      </c>
      <c r="I62" s="14">
        <v>0</v>
      </c>
      <c r="J62" s="13">
        <v>12428000</v>
      </c>
      <c r="K62" s="13">
        <v>12428000</v>
      </c>
      <c r="L62" s="13">
        <v>12428000</v>
      </c>
      <c r="M62" s="13">
        <v>12428000</v>
      </c>
      <c r="N62" s="15">
        <f t="shared" si="4"/>
        <v>1</v>
      </c>
      <c r="O62" s="15">
        <f t="shared" si="5"/>
        <v>1</v>
      </c>
    </row>
    <row r="63" spans="1:22" x14ac:dyDescent="0.25">
      <c r="A63" s="11" t="s">
        <v>138</v>
      </c>
      <c r="B63" s="12" t="s">
        <v>140</v>
      </c>
      <c r="C63" s="13">
        <v>350000</v>
      </c>
      <c r="D63" s="13">
        <v>0</v>
      </c>
      <c r="E63" s="13">
        <v>20000</v>
      </c>
      <c r="F63" s="14">
        <v>330000</v>
      </c>
      <c r="G63" s="13">
        <v>0</v>
      </c>
      <c r="H63" s="13">
        <v>330000</v>
      </c>
      <c r="I63" s="14">
        <v>0</v>
      </c>
      <c r="J63" s="13">
        <v>330000</v>
      </c>
      <c r="K63" s="13">
        <v>330000</v>
      </c>
      <c r="L63" s="13">
        <v>330000</v>
      </c>
      <c r="M63" s="13">
        <v>330000</v>
      </c>
      <c r="N63" s="15">
        <f t="shared" si="4"/>
        <v>1</v>
      </c>
      <c r="O63" s="15">
        <f t="shared" si="5"/>
        <v>1</v>
      </c>
    </row>
    <row r="64" spans="1:22" x14ac:dyDescent="0.25">
      <c r="A64" s="16" t="s">
        <v>141</v>
      </c>
      <c r="B64" s="23" t="s">
        <v>142</v>
      </c>
      <c r="C64" s="24">
        <v>55000000</v>
      </c>
      <c r="D64" s="18">
        <v>0</v>
      </c>
      <c r="E64" s="18">
        <v>0</v>
      </c>
      <c r="F64" s="25">
        <v>55000000</v>
      </c>
      <c r="G64" s="18">
        <v>0</v>
      </c>
      <c r="H64" s="18">
        <v>0</v>
      </c>
      <c r="I64" s="19">
        <v>55000000</v>
      </c>
      <c r="J64" s="18">
        <v>0</v>
      </c>
      <c r="K64" s="18">
        <v>0</v>
      </c>
      <c r="L64" s="18">
        <v>0</v>
      </c>
      <c r="M64" s="18">
        <v>0</v>
      </c>
      <c r="N64" s="20">
        <f t="shared" si="4"/>
        <v>0</v>
      </c>
      <c r="O64" s="20">
        <f t="shared" si="5"/>
        <v>0</v>
      </c>
    </row>
    <row r="65" spans="1:15" x14ac:dyDescent="0.25">
      <c r="A65" s="68" t="s">
        <v>24</v>
      </c>
      <c r="B65" s="68"/>
      <c r="C65" s="8">
        <f>+C66+C68+C72+C75+C80+C83</f>
        <v>7000000000</v>
      </c>
      <c r="D65" s="8">
        <f t="shared" ref="D65:M65" si="43">+D66+D68+D72+D75+D80+D83</f>
        <v>0</v>
      </c>
      <c r="E65" s="8">
        <f t="shared" si="43"/>
        <v>0</v>
      </c>
      <c r="F65" s="8">
        <f t="shared" si="43"/>
        <v>7000000000</v>
      </c>
      <c r="G65" s="8">
        <f t="shared" si="43"/>
        <v>0</v>
      </c>
      <c r="H65" s="8">
        <f t="shared" si="43"/>
        <v>5846680729.71</v>
      </c>
      <c r="I65" s="8">
        <f t="shared" si="43"/>
        <v>1153319270.29</v>
      </c>
      <c r="J65" s="8">
        <f t="shared" si="43"/>
        <v>4592697601.71</v>
      </c>
      <c r="K65" s="8">
        <f t="shared" si="43"/>
        <v>1783470378.9000001</v>
      </c>
      <c r="L65" s="8">
        <f t="shared" si="43"/>
        <v>1742073015.9000001</v>
      </c>
      <c r="M65" s="8">
        <f t="shared" si="43"/>
        <v>1742073015.9000001</v>
      </c>
      <c r="N65" s="9">
        <f t="shared" si="4"/>
        <v>0.65609965738714282</v>
      </c>
      <c r="O65" s="10">
        <f t="shared" si="5"/>
        <v>0.25478148270000001</v>
      </c>
    </row>
    <row r="66" spans="1:15" ht="22.5" x14ac:dyDescent="0.25">
      <c r="A66" s="16" t="s">
        <v>32</v>
      </c>
      <c r="B66" s="17" t="s">
        <v>38</v>
      </c>
      <c r="C66" s="18">
        <f>+C67</f>
        <v>200000000</v>
      </c>
      <c r="D66" s="18">
        <f t="shared" ref="D66:M66" si="44">+D67</f>
        <v>0</v>
      </c>
      <c r="E66" s="18">
        <f t="shared" si="44"/>
        <v>0</v>
      </c>
      <c r="F66" s="18">
        <f t="shared" si="44"/>
        <v>200000000</v>
      </c>
      <c r="G66" s="18">
        <f t="shared" si="44"/>
        <v>0</v>
      </c>
      <c r="H66" s="18">
        <f t="shared" si="44"/>
        <v>200000000</v>
      </c>
      <c r="I66" s="18">
        <f t="shared" si="44"/>
        <v>0</v>
      </c>
      <c r="J66" s="18">
        <f t="shared" si="44"/>
        <v>200000000</v>
      </c>
      <c r="K66" s="18">
        <f t="shared" si="44"/>
        <v>0</v>
      </c>
      <c r="L66" s="18">
        <f t="shared" si="44"/>
        <v>0</v>
      </c>
      <c r="M66" s="18">
        <f t="shared" si="44"/>
        <v>0</v>
      </c>
      <c r="N66" s="20">
        <f t="shared" si="4"/>
        <v>1</v>
      </c>
      <c r="O66" s="20">
        <f t="shared" si="5"/>
        <v>0</v>
      </c>
    </row>
    <row r="67" spans="1:15" ht="22.5" x14ac:dyDescent="0.25">
      <c r="A67" s="33" t="s">
        <v>158</v>
      </c>
      <c r="B67" s="12" t="s">
        <v>159</v>
      </c>
      <c r="C67" s="13">
        <v>200000000</v>
      </c>
      <c r="D67" s="13">
        <v>0</v>
      </c>
      <c r="E67" s="13">
        <v>0</v>
      </c>
      <c r="F67" s="14">
        <v>200000000</v>
      </c>
      <c r="G67" s="13">
        <v>0</v>
      </c>
      <c r="H67" s="13">
        <v>200000000</v>
      </c>
      <c r="I67" s="14">
        <v>0</v>
      </c>
      <c r="J67" s="13">
        <v>200000000</v>
      </c>
      <c r="K67" s="13">
        <v>0</v>
      </c>
      <c r="L67" s="13">
        <v>0</v>
      </c>
      <c r="M67" s="13">
        <v>0</v>
      </c>
      <c r="N67" s="15">
        <f t="shared" si="4"/>
        <v>1</v>
      </c>
      <c r="O67" s="15">
        <f t="shared" si="5"/>
        <v>0</v>
      </c>
    </row>
    <row r="68" spans="1:15" ht="33.75" x14ac:dyDescent="0.25">
      <c r="A68" s="34" t="s">
        <v>33</v>
      </c>
      <c r="B68" s="17" t="s">
        <v>39</v>
      </c>
      <c r="C68" s="18">
        <f>SUM(C69:C71)</f>
        <v>1045900000</v>
      </c>
      <c r="D68" s="18">
        <f t="shared" ref="D68:M68" si="45">SUM(D69:D71)</f>
        <v>0</v>
      </c>
      <c r="E68" s="18">
        <f t="shared" si="45"/>
        <v>0</v>
      </c>
      <c r="F68" s="18">
        <f t="shared" si="45"/>
        <v>1045900000</v>
      </c>
      <c r="G68" s="18">
        <f t="shared" si="45"/>
        <v>0</v>
      </c>
      <c r="H68" s="18">
        <f t="shared" si="45"/>
        <v>698536653</v>
      </c>
      <c r="I68" s="18">
        <f t="shared" si="45"/>
        <v>347363347</v>
      </c>
      <c r="J68" s="18">
        <f t="shared" si="45"/>
        <v>558536653</v>
      </c>
      <c r="K68" s="18">
        <f t="shared" si="45"/>
        <v>33620000</v>
      </c>
      <c r="L68" s="18">
        <f t="shared" si="45"/>
        <v>33620000</v>
      </c>
      <c r="M68" s="18">
        <f t="shared" si="45"/>
        <v>33620000</v>
      </c>
      <c r="N68" s="20">
        <f t="shared" si="4"/>
        <v>0.53402490964719385</v>
      </c>
      <c r="O68" s="20">
        <f t="shared" si="5"/>
        <v>3.2144564489912993E-2</v>
      </c>
    </row>
    <row r="69" spans="1:15" ht="22.5" x14ac:dyDescent="0.25">
      <c r="A69" s="33" t="s">
        <v>160</v>
      </c>
      <c r="B69" s="12" t="s">
        <v>163</v>
      </c>
      <c r="C69" s="13">
        <v>185900000</v>
      </c>
      <c r="D69" s="13">
        <v>0</v>
      </c>
      <c r="E69" s="13">
        <v>0</v>
      </c>
      <c r="F69" s="14">
        <v>185900000</v>
      </c>
      <c r="G69" s="13">
        <v>0</v>
      </c>
      <c r="H69" s="13">
        <v>127601667</v>
      </c>
      <c r="I69" s="14">
        <v>58298333</v>
      </c>
      <c r="J69" s="13">
        <v>127601667</v>
      </c>
      <c r="K69" s="13">
        <v>33620000</v>
      </c>
      <c r="L69" s="13">
        <v>33620000</v>
      </c>
      <c r="M69" s="13">
        <v>33620000</v>
      </c>
      <c r="N69" s="15">
        <f t="shared" si="4"/>
        <v>0.6863994997310382</v>
      </c>
      <c r="O69" s="15">
        <f t="shared" si="5"/>
        <v>0.18084991931145777</v>
      </c>
    </row>
    <row r="70" spans="1:15" ht="22.5" x14ac:dyDescent="0.25">
      <c r="A70" s="33" t="s">
        <v>161</v>
      </c>
      <c r="B70" s="12" t="s">
        <v>164</v>
      </c>
      <c r="C70" s="13">
        <v>740000000</v>
      </c>
      <c r="D70" s="13">
        <v>0</v>
      </c>
      <c r="E70" s="13">
        <v>0</v>
      </c>
      <c r="F70" s="14">
        <v>740000000</v>
      </c>
      <c r="G70" s="13">
        <v>0</v>
      </c>
      <c r="H70" s="13">
        <v>464191224</v>
      </c>
      <c r="I70" s="14">
        <v>275808776</v>
      </c>
      <c r="J70" s="13">
        <v>324191224</v>
      </c>
      <c r="K70" s="13">
        <v>0</v>
      </c>
      <c r="L70" s="13">
        <v>0</v>
      </c>
      <c r="M70" s="13">
        <v>0</v>
      </c>
      <c r="N70" s="15">
        <f t="shared" si="4"/>
        <v>0.43809624864864866</v>
      </c>
      <c r="O70" s="15">
        <f t="shared" si="5"/>
        <v>0</v>
      </c>
    </row>
    <row r="71" spans="1:15" ht="22.5" x14ac:dyDescent="0.25">
      <c r="A71" s="33" t="s">
        <v>162</v>
      </c>
      <c r="B71" s="12" t="s">
        <v>165</v>
      </c>
      <c r="C71" s="13">
        <v>120000000</v>
      </c>
      <c r="D71" s="13">
        <v>0</v>
      </c>
      <c r="E71" s="13">
        <v>0</v>
      </c>
      <c r="F71" s="14">
        <v>120000000</v>
      </c>
      <c r="G71" s="13">
        <v>0</v>
      </c>
      <c r="H71" s="13">
        <v>106743762</v>
      </c>
      <c r="I71" s="14">
        <v>13256238</v>
      </c>
      <c r="J71" s="13">
        <v>106743762</v>
      </c>
      <c r="K71" s="13">
        <v>0</v>
      </c>
      <c r="L71" s="13">
        <v>0</v>
      </c>
      <c r="M71" s="13">
        <v>0</v>
      </c>
      <c r="N71" s="15">
        <f t="shared" si="4"/>
        <v>0.88953135000000005</v>
      </c>
      <c r="O71" s="15">
        <f t="shared" si="5"/>
        <v>0</v>
      </c>
    </row>
    <row r="72" spans="1:15" ht="56.25" x14ac:dyDescent="0.25">
      <c r="A72" s="34" t="s">
        <v>34</v>
      </c>
      <c r="B72" s="17" t="s">
        <v>40</v>
      </c>
      <c r="C72" s="18">
        <f>SUM(C73:C74)</f>
        <v>2825211185</v>
      </c>
      <c r="D72" s="18">
        <f t="shared" ref="D72:M72" si="46">SUM(D73:D74)</f>
        <v>0</v>
      </c>
      <c r="E72" s="18">
        <f t="shared" si="46"/>
        <v>0</v>
      </c>
      <c r="F72" s="18">
        <f t="shared" si="46"/>
        <v>2825211185</v>
      </c>
      <c r="G72" s="18">
        <f t="shared" si="46"/>
        <v>0</v>
      </c>
      <c r="H72" s="18">
        <f t="shared" si="46"/>
        <v>2344996231.71</v>
      </c>
      <c r="I72" s="18">
        <f t="shared" si="46"/>
        <v>480214953.28999996</v>
      </c>
      <c r="J72" s="18">
        <f t="shared" si="46"/>
        <v>1616736115.71</v>
      </c>
      <c r="K72" s="18">
        <f t="shared" si="46"/>
        <v>811428384.23000002</v>
      </c>
      <c r="L72" s="18">
        <f t="shared" si="46"/>
        <v>770031021.23000002</v>
      </c>
      <c r="M72" s="18">
        <f t="shared" si="46"/>
        <v>770031021.23000002</v>
      </c>
      <c r="N72" s="20">
        <f t="shared" si="4"/>
        <v>0.57225319094508686</v>
      </c>
      <c r="O72" s="20">
        <f t="shared" si="5"/>
        <v>0.2872098158672694</v>
      </c>
    </row>
    <row r="73" spans="1:15" ht="22.5" x14ac:dyDescent="0.25">
      <c r="A73" s="33" t="s">
        <v>166</v>
      </c>
      <c r="B73" s="12" t="s">
        <v>165</v>
      </c>
      <c r="C73" s="13">
        <v>925211185</v>
      </c>
      <c r="D73" s="13">
        <v>0</v>
      </c>
      <c r="E73" s="13">
        <v>0</v>
      </c>
      <c r="F73" s="14">
        <v>925211185</v>
      </c>
      <c r="G73" s="13">
        <v>0</v>
      </c>
      <c r="H73" s="13">
        <v>702570514</v>
      </c>
      <c r="I73" s="14">
        <v>222640671</v>
      </c>
      <c r="J73" s="13">
        <v>630918210</v>
      </c>
      <c r="K73" s="13">
        <v>253397363</v>
      </c>
      <c r="L73" s="13">
        <v>212000000</v>
      </c>
      <c r="M73" s="13">
        <v>212000000</v>
      </c>
      <c r="N73" s="15">
        <f t="shared" si="4"/>
        <v>0.68191805311994791</v>
      </c>
      <c r="O73" s="15">
        <f t="shared" si="5"/>
        <v>0.27388056598126836</v>
      </c>
    </row>
    <row r="74" spans="1:15" ht="22.5" x14ac:dyDescent="0.25">
      <c r="A74" s="33" t="s">
        <v>167</v>
      </c>
      <c r="B74" s="12" t="s">
        <v>168</v>
      </c>
      <c r="C74" s="13">
        <v>1900000000</v>
      </c>
      <c r="D74" s="13">
        <v>0</v>
      </c>
      <c r="E74" s="13">
        <v>0</v>
      </c>
      <c r="F74" s="14">
        <v>1900000000</v>
      </c>
      <c r="G74" s="13">
        <v>0</v>
      </c>
      <c r="H74" s="13">
        <v>1642425717.71</v>
      </c>
      <c r="I74" s="14">
        <v>257574282.28999999</v>
      </c>
      <c r="J74" s="13">
        <v>985817905.71000004</v>
      </c>
      <c r="K74" s="13">
        <v>558031021.23000002</v>
      </c>
      <c r="L74" s="13">
        <v>558031021.23000002</v>
      </c>
      <c r="M74" s="13">
        <v>558031021.23000002</v>
      </c>
      <c r="N74" s="15">
        <f t="shared" si="4"/>
        <v>0.51885152932105261</v>
      </c>
      <c r="O74" s="15">
        <f t="shared" si="5"/>
        <v>0.29370053748947367</v>
      </c>
    </row>
    <row r="75" spans="1:15" ht="45" x14ac:dyDescent="0.25">
      <c r="A75" s="34" t="s">
        <v>35</v>
      </c>
      <c r="B75" s="17" t="s">
        <v>41</v>
      </c>
      <c r="C75" s="18">
        <f>SUM(C76:C79)</f>
        <v>2400000000</v>
      </c>
      <c r="D75" s="18">
        <f t="shared" ref="D75:M75" si="47">SUM(D76:D79)</f>
        <v>0</v>
      </c>
      <c r="E75" s="18">
        <f t="shared" si="47"/>
        <v>0</v>
      </c>
      <c r="F75" s="18">
        <f t="shared" si="47"/>
        <v>2400000000</v>
      </c>
      <c r="G75" s="18">
        <f t="shared" si="47"/>
        <v>0</v>
      </c>
      <c r="H75" s="18">
        <f t="shared" si="47"/>
        <v>2185150621</v>
      </c>
      <c r="I75" s="18">
        <f t="shared" si="47"/>
        <v>214849379</v>
      </c>
      <c r="J75" s="18">
        <f t="shared" si="47"/>
        <v>1931407557</v>
      </c>
      <c r="K75" s="18">
        <f t="shared" si="47"/>
        <v>800659286.67000008</v>
      </c>
      <c r="L75" s="18">
        <f t="shared" si="47"/>
        <v>800659286.67000008</v>
      </c>
      <c r="M75" s="18">
        <f t="shared" si="47"/>
        <v>800659286.67000008</v>
      </c>
      <c r="N75" s="20">
        <f t="shared" si="4"/>
        <v>0.80475314875000004</v>
      </c>
      <c r="O75" s="20">
        <f t="shared" si="5"/>
        <v>0.33360803611250001</v>
      </c>
    </row>
    <row r="76" spans="1:15" ht="22.5" x14ac:dyDescent="0.25">
      <c r="A76" s="33" t="s">
        <v>150</v>
      </c>
      <c r="B76" s="12" t="s">
        <v>154</v>
      </c>
      <c r="C76" s="13">
        <v>201220000</v>
      </c>
      <c r="D76" s="13">
        <v>0</v>
      </c>
      <c r="E76" s="13">
        <v>0</v>
      </c>
      <c r="F76" s="14">
        <v>201220000</v>
      </c>
      <c r="G76" s="13">
        <v>0</v>
      </c>
      <c r="H76" s="13">
        <v>192200000</v>
      </c>
      <c r="I76" s="14">
        <v>9020000</v>
      </c>
      <c r="J76" s="13">
        <v>67200000</v>
      </c>
      <c r="K76" s="13">
        <v>37866667</v>
      </c>
      <c r="L76" s="13">
        <v>37866667</v>
      </c>
      <c r="M76" s="13">
        <v>37866667</v>
      </c>
      <c r="N76" s="15">
        <f t="shared" si="4"/>
        <v>0.33396282675678363</v>
      </c>
      <c r="O76" s="15">
        <f t="shared" si="5"/>
        <v>0.18818540403538417</v>
      </c>
    </row>
    <row r="77" spans="1:15" ht="22.5" x14ac:dyDescent="0.25">
      <c r="A77" s="33" t="s">
        <v>151</v>
      </c>
      <c r="B77" s="12" t="s">
        <v>155</v>
      </c>
      <c r="C77" s="13">
        <v>400000000</v>
      </c>
      <c r="D77" s="13">
        <v>0</v>
      </c>
      <c r="E77" s="13">
        <v>0</v>
      </c>
      <c r="F77" s="14">
        <v>400000000</v>
      </c>
      <c r="G77" s="13">
        <v>0</v>
      </c>
      <c r="H77" s="13">
        <v>396556145</v>
      </c>
      <c r="I77" s="14">
        <v>3443855</v>
      </c>
      <c r="J77" s="13">
        <v>396556145</v>
      </c>
      <c r="K77" s="13">
        <v>178950352</v>
      </c>
      <c r="L77" s="13">
        <v>178950352</v>
      </c>
      <c r="M77" s="13">
        <v>178950352</v>
      </c>
      <c r="N77" s="15">
        <f t="shared" si="4"/>
        <v>0.99139036250000001</v>
      </c>
      <c r="O77" s="15">
        <f t="shared" si="5"/>
        <v>0.44737588</v>
      </c>
    </row>
    <row r="78" spans="1:15" ht="33.75" x14ac:dyDescent="0.25">
      <c r="A78" s="33" t="s">
        <v>152</v>
      </c>
      <c r="B78" s="12" t="s">
        <v>156</v>
      </c>
      <c r="C78" s="13">
        <v>947762000</v>
      </c>
      <c r="D78" s="13">
        <v>0</v>
      </c>
      <c r="E78" s="13">
        <v>0</v>
      </c>
      <c r="F78" s="14">
        <v>947762000</v>
      </c>
      <c r="G78" s="13">
        <v>0</v>
      </c>
      <c r="H78" s="13">
        <v>884641614</v>
      </c>
      <c r="I78" s="14">
        <v>63120386</v>
      </c>
      <c r="J78" s="13">
        <v>755898550</v>
      </c>
      <c r="K78" s="13">
        <v>342132999.67000002</v>
      </c>
      <c r="L78" s="13">
        <v>342132999.67000002</v>
      </c>
      <c r="M78" s="13">
        <v>342132999.67000002</v>
      </c>
      <c r="N78" s="15">
        <f t="shared" si="4"/>
        <v>0.79756157136496297</v>
      </c>
      <c r="O78" s="15">
        <f t="shared" si="5"/>
        <v>0.36099041707728313</v>
      </c>
    </row>
    <row r="79" spans="1:15" ht="22.5" x14ac:dyDescent="0.25">
      <c r="A79" s="33" t="s">
        <v>153</v>
      </c>
      <c r="B79" s="12" t="s">
        <v>157</v>
      </c>
      <c r="C79" s="13">
        <v>851018000</v>
      </c>
      <c r="D79" s="13">
        <v>0</v>
      </c>
      <c r="E79" s="13">
        <v>0</v>
      </c>
      <c r="F79" s="14">
        <v>851018000</v>
      </c>
      <c r="G79" s="13">
        <v>0</v>
      </c>
      <c r="H79" s="13">
        <v>711752862</v>
      </c>
      <c r="I79" s="14">
        <v>139265138</v>
      </c>
      <c r="J79" s="13">
        <v>711752862</v>
      </c>
      <c r="K79" s="13">
        <v>241709268</v>
      </c>
      <c r="L79" s="13">
        <v>241709268</v>
      </c>
      <c r="M79" s="13">
        <v>241709268</v>
      </c>
      <c r="N79" s="15">
        <f t="shared" si="4"/>
        <v>0.83635465054793201</v>
      </c>
      <c r="O79" s="15">
        <f t="shared" si="5"/>
        <v>0.28402368457541438</v>
      </c>
    </row>
    <row r="80" spans="1:15" ht="45" x14ac:dyDescent="0.25">
      <c r="A80" s="34" t="s">
        <v>36</v>
      </c>
      <c r="B80" s="17" t="s">
        <v>42</v>
      </c>
      <c r="C80" s="18">
        <f>SUM(C81:C82)</f>
        <v>200000000</v>
      </c>
      <c r="D80" s="18">
        <f t="shared" ref="D80:M80" si="48">SUM(D81:D82)</f>
        <v>0</v>
      </c>
      <c r="E80" s="18">
        <f t="shared" si="48"/>
        <v>0</v>
      </c>
      <c r="F80" s="18">
        <f t="shared" si="48"/>
        <v>200000000</v>
      </c>
      <c r="G80" s="18">
        <f t="shared" si="48"/>
        <v>0</v>
      </c>
      <c r="H80" s="18">
        <f t="shared" si="48"/>
        <v>100000000</v>
      </c>
      <c r="I80" s="18">
        <f t="shared" si="48"/>
        <v>100000000</v>
      </c>
      <c r="J80" s="18">
        <f t="shared" si="48"/>
        <v>100000000</v>
      </c>
      <c r="K80" s="18">
        <f t="shared" si="48"/>
        <v>46388373</v>
      </c>
      <c r="L80" s="18">
        <f t="shared" si="48"/>
        <v>46388373</v>
      </c>
      <c r="M80" s="18">
        <f t="shared" si="48"/>
        <v>46388373</v>
      </c>
      <c r="N80" s="20">
        <f t="shared" si="4"/>
        <v>0.5</v>
      </c>
      <c r="O80" s="20">
        <f t="shared" si="5"/>
        <v>0.231941865</v>
      </c>
    </row>
    <row r="81" spans="1:15" ht="22.5" x14ac:dyDescent="0.25">
      <c r="A81" s="33" t="s">
        <v>170</v>
      </c>
      <c r="B81" s="12" t="s">
        <v>164</v>
      </c>
      <c r="C81" s="13">
        <v>80000000</v>
      </c>
      <c r="D81" s="13">
        <v>0</v>
      </c>
      <c r="E81" s="13">
        <v>0</v>
      </c>
      <c r="F81" s="14">
        <v>80000000</v>
      </c>
      <c r="G81" s="13">
        <v>0</v>
      </c>
      <c r="H81" s="13">
        <v>80000000</v>
      </c>
      <c r="I81" s="14">
        <v>0</v>
      </c>
      <c r="J81" s="13">
        <v>80000000</v>
      </c>
      <c r="K81" s="13">
        <v>43388373</v>
      </c>
      <c r="L81" s="13">
        <v>43388373</v>
      </c>
      <c r="M81" s="13">
        <v>43388373</v>
      </c>
      <c r="N81" s="15">
        <f>+J81/F81</f>
        <v>1</v>
      </c>
      <c r="O81" s="15">
        <f>+K81/F81</f>
        <v>0.54235466249999997</v>
      </c>
    </row>
    <row r="82" spans="1:15" ht="22.5" x14ac:dyDescent="0.25">
      <c r="A82" s="33" t="s">
        <v>169</v>
      </c>
      <c r="B82" s="12" t="s">
        <v>171</v>
      </c>
      <c r="C82" s="13">
        <v>120000000</v>
      </c>
      <c r="D82" s="13">
        <v>0</v>
      </c>
      <c r="E82" s="13">
        <v>0</v>
      </c>
      <c r="F82" s="14">
        <v>120000000</v>
      </c>
      <c r="G82" s="13">
        <v>0</v>
      </c>
      <c r="H82" s="13">
        <v>20000000</v>
      </c>
      <c r="I82" s="14">
        <v>100000000</v>
      </c>
      <c r="J82" s="13">
        <v>20000000</v>
      </c>
      <c r="K82" s="13">
        <v>3000000</v>
      </c>
      <c r="L82" s="13">
        <v>3000000</v>
      </c>
      <c r="M82" s="13">
        <v>3000000</v>
      </c>
      <c r="N82" s="15">
        <f>+J82/F82</f>
        <v>0.16666666666666666</v>
      </c>
      <c r="O82" s="15">
        <f>+K82/F82</f>
        <v>2.5000000000000001E-2</v>
      </c>
    </row>
    <row r="83" spans="1:15" ht="33.75" x14ac:dyDescent="0.25">
      <c r="A83" s="34" t="s">
        <v>37</v>
      </c>
      <c r="B83" s="17" t="s">
        <v>43</v>
      </c>
      <c r="C83" s="18">
        <f>SUM(C84:C85)</f>
        <v>328888815</v>
      </c>
      <c r="D83" s="18">
        <f t="shared" ref="D83:M83" si="49">SUM(D84:D85)</f>
        <v>0</v>
      </c>
      <c r="E83" s="18">
        <f t="shared" si="49"/>
        <v>0</v>
      </c>
      <c r="F83" s="18">
        <f t="shared" si="49"/>
        <v>328888815</v>
      </c>
      <c r="G83" s="18">
        <f t="shared" si="49"/>
        <v>0</v>
      </c>
      <c r="H83" s="18">
        <f t="shared" si="49"/>
        <v>317997224</v>
      </c>
      <c r="I83" s="18">
        <f t="shared" si="49"/>
        <v>10891591</v>
      </c>
      <c r="J83" s="18">
        <f t="shared" si="49"/>
        <v>186017276</v>
      </c>
      <c r="K83" s="18">
        <f t="shared" si="49"/>
        <v>91374335</v>
      </c>
      <c r="L83" s="18">
        <f t="shared" si="49"/>
        <v>91374335</v>
      </c>
      <c r="M83" s="18">
        <f t="shared" si="49"/>
        <v>91374335</v>
      </c>
      <c r="N83" s="20">
        <f t="shared" si="4"/>
        <v>0.56559319598630919</v>
      </c>
      <c r="O83" s="20">
        <f t="shared" si="5"/>
        <v>0.27782743234974411</v>
      </c>
    </row>
    <row r="84" spans="1:15" ht="33.75" x14ac:dyDescent="0.25">
      <c r="A84" s="33" t="s">
        <v>173</v>
      </c>
      <c r="B84" s="12" t="s">
        <v>156</v>
      </c>
      <c r="C84" s="13">
        <v>294200481</v>
      </c>
      <c r="D84" s="13">
        <v>0</v>
      </c>
      <c r="E84" s="13">
        <v>0</v>
      </c>
      <c r="F84" s="14">
        <v>294200481</v>
      </c>
      <c r="G84" s="13">
        <v>0</v>
      </c>
      <c r="H84" s="13">
        <v>292285800</v>
      </c>
      <c r="I84" s="14">
        <v>1914681</v>
      </c>
      <c r="J84" s="13">
        <v>160305852</v>
      </c>
      <c r="K84" s="13">
        <v>91374335</v>
      </c>
      <c r="L84" s="13">
        <v>91374335</v>
      </c>
      <c r="M84" s="13">
        <v>91374335</v>
      </c>
      <c r="N84" s="15">
        <f t="shared" si="4"/>
        <v>0.54488643749022292</v>
      </c>
      <c r="O84" s="15">
        <f t="shared" si="5"/>
        <v>0.31058526719403973</v>
      </c>
    </row>
    <row r="85" spans="1:15" ht="22.5" x14ac:dyDescent="0.25">
      <c r="A85" s="33" t="s">
        <v>172</v>
      </c>
      <c r="B85" s="12" t="s">
        <v>171</v>
      </c>
      <c r="C85" s="13">
        <v>34688334</v>
      </c>
      <c r="D85" s="13">
        <v>0</v>
      </c>
      <c r="E85" s="13">
        <v>0</v>
      </c>
      <c r="F85" s="14">
        <v>34688334</v>
      </c>
      <c r="G85" s="13">
        <v>0</v>
      </c>
      <c r="H85" s="13">
        <v>25711424</v>
      </c>
      <c r="I85" s="14">
        <v>8976910</v>
      </c>
      <c r="J85" s="13">
        <v>25711424</v>
      </c>
      <c r="K85" s="13">
        <v>0</v>
      </c>
      <c r="L85" s="13">
        <v>0</v>
      </c>
      <c r="M85" s="13">
        <v>0</v>
      </c>
      <c r="N85" s="15">
        <f t="shared" si="4"/>
        <v>0.74121242029092549</v>
      </c>
      <c r="O85" s="15">
        <f t="shared" si="5"/>
        <v>0</v>
      </c>
    </row>
    <row r="86" spans="1:15" x14ac:dyDescent="0.25">
      <c r="A86" s="68" t="s">
        <v>143</v>
      </c>
      <c r="B86" s="68" t="s">
        <v>0</v>
      </c>
      <c r="C86" s="7">
        <f t="shared" ref="C86:M86" si="50">+C5+C65</f>
        <v>36191962728</v>
      </c>
      <c r="D86" s="8">
        <f t="shared" si="50"/>
        <v>1968001340</v>
      </c>
      <c r="E86" s="8">
        <f t="shared" si="50"/>
        <v>2308001340</v>
      </c>
      <c r="F86" s="8">
        <f t="shared" si="50"/>
        <v>35851962728</v>
      </c>
      <c r="G86" s="8">
        <f t="shared" si="50"/>
        <v>2435000000</v>
      </c>
      <c r="H86" s="8">
        <f t="shared" si="50"/>
        <v>29930946350.77</v>
      </c>
      <c r="I86" s="8">
        <f t="shared" si="50"/>
        <v>3486016377.2299976</v>
      </c>
      <c r="J86" s="8">
        <f t="shared" si="50"/>
        <v>23959199733.089996</v>
      </c>
      <c r="K86" s="8">
        <f t="shared" si="50"/>
        <v>19348738402.950001</v>
      </c>
      <c r="L86" s="8">
        <f t="shared" si="50"/>
        <v>19238164331.690002</v>
      </c>
      <c r="M86" s="8">
        <f t="shared" si="50"/>
        <v>19219243237.690002</v>
      </c>
      <c r="N86" s="9">
        <f t="shared" si="4"/>
        <v>0.66828139688927313</v>
      </c>
      <c r="O86" s="10">
        <f t="shared" si="5"/>
        <v>0.53968421616813866</v>
      </c>
    </row>
    <row r="87" spans="1:15" x14ac:dyDescent="0.25">
      <c r="A87" s="4" t="s">
        <v>25</v>
      </c>
    </row>
  </sheetData>
  <mergeCells count="10">
    <mergeCell ref="A54:B54"/>
    <mergeCell ref="A59:B59"/>
    <mergeCell ref="A65:B65"/>
    <mergeCell ref="A86:B86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2020-06-02T16:00:30Z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