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showInkAnnotation="0" codeName="ThisWorkbook" defaultThemeVersion="166925"/>
  <mc:AlternateContent xmlns:mc="http://schemas.openxmlformats.org/markup-compatibility/2006">
    <mc:Choice Requires="x15">
      <x15ac:absPath xmlns:x15ac="http://schemas.microsoft.com/office/spreadsheetml/2010/11/ac" url="C:\Users\crubiot\Desktop\"/>
    </mc:Choice>
  </mc:AlternateContent>
  <xr:revisionPtr revIDLastSave="0" documentId="8_{B426A267-F658-43BD-8CC2-B8852D7CE749}" xr6:coauthVersionLast="36" xr6:coauthVersionMax="36" xr10:uidLastSave="{00000000-0000-0000-0000-000000000000}"/>
  <bookViews>
    <workbookView xWindow="0" yWindow="0" windowWidth="13530" windowHeight="7515"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PAGOS" sheetId="11" r:id="rId7"/>
    <sheet name="Resumen general" sheetId="5" r:id="rId8"/>
    <sheet name="Base a pegar" sheetId="12" state="hidden"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I3" i="12" l="1"/>
  <c r="BH3" i="12"/>
  <c r="BG3" i="12"/>
  <c r="BF3" i="12"/>
  <c r="BE3" i="12"/>
  <c r="BD3" i="12"/>
  <c r="BC3" i="12"/>
  <c r="BB3" i="12"/>
  <c r="C14" i="12"/>
  <c r="D14" i="12"/>
  <c r="E14" i="12"/>
  <c r="F14" i="12"/>
  <c r="C15" i="12"/>
  <c r="D15" i="12"/>
  <c r="E15" i="12"/>
  <c r="F15" i="12"/>
  <c r="C16" i="12"/>
  <c r="D16" i="12"/>
  <c r="E16" i="12"/>
  <c r="F16" i="12"/>
  <c r="C17" i="12"/>
  <c r="D17" i="12"/>
  <c r="E17" i="12"/>
  <c r="F17" i="12"/>
  <c r="C18" i="12"/>
  <c r="D18" i="12"/>
  <c r="E18" i="12"/>
  <c r="F18" i="12"/>
  <c r="D13" i="12"/>
  <c r="E13" i="12"/>
  <c r="F13" i="12"/>
  <c r="C13" i="12"/>
  <c r="B3" i="12"/>
  <c r="A3" i="12"/>
  <c r="A15" i="12" s="1"/>
  <c r="BP3" i="12"/>
  <c r="A14" i="12" l="1"/>
  <c r="A13" i="12"/>
  <c r="A18" i="12"/>
  <c r="A17" i="12"/>
  <c r="A16" i="12"/>
  <c r="C12" i="5"/>
  <c r="V3" i="7"/>
  <c r="G14" i="1" l="1"/>
  <c r="G15" i="12" s="1"/>
  <c r="G13" i="1"/>
  <c r="G14" i="12" s="1"/>
  <c r="G15" i="1"/>
  <c r="G16" i="12" s="1"/>
  <c r="G16" i="1"/>
  <c r="G17" i="12" s="1"/>
  <c r="G17" i="1"/>
  <c r="G18" i="12" s="1"/>
  <c r="G12" i="1"/>
  <c r="G13" i="12" s="1"/>
  <c r="BO3" i="12" l="1"/>
  <c r="BN3" i="12"/>
  <c r="BM3" i="12"/>
  <c r="BL3" i="12"/>
  <c r="BK3" i="12"/>
  <c r="BJ3" i="12"/>
  <c r="Q3" i="12" l="1"/>
  <c r="P3" i="12"/>
  <c r="O3" i="12"/>
  <c r="N3" i="12"/>
  <c r="M3" i="12"/>
  <c r="L3" i="12"/>
  <c r="K3" i="12"/>
  <c r="J3" i="12"/>
  <c r="I3" i="12"/>
  <c r="F17" i="5" l="1"/>
  <c r="F15" i="5"/>
  <c r="F10" i="5"/>
  <c r="C19" i="5"/>
  <c r="C17" i="5"/>
  <c r="C16" i="5"/>
  <c r="T16" i="10"/>
  <c r="T12" i="10"/>
  <c r="W3" i="8"/>
  <c r="C25" i="8" s="1"/>
  <c r="T17" i="10" l="1"/>
  <c r="F13" i="5" s="1"/>
  <c r="V2" i="9"/>
  <c r="V3" i="9" s="1"/>
  <c r="F9" i="9" s="1"/>
  <c r="F11" i="5" l="1"/>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H3" i="12"/>
  <c r="G3" i="12"/>
  <c r="F3" i="12"/>
  <c r="E3" i="12"/>
  <c r="D3" i="12"/>
  <c r="C3" i="12"/>
  <c r="F19" i="5"/>
  <c r="F18" i="5"/>
  <c r="F14" i="5"/>
  <c r="F9" i="5"/>
  <c r="F8" i="5"/>
  <c r="C14" i="5"/>
  <c r="C15" i="5"/>
  <c r="C18" i="5" s="1"/>
  <c r="J13" i="1"/>
  <c r="J14" i="1"/>
  <c r="J15" i="1"/>
  <c r="J16" i="1"/>
  <c r="J17" i="1"/>
  <c r="J12" i="1"/>
  <c r="I12" i="1"/>
  <c r="I13" i="1"/>
  <c r="I14" i="1"/>
  <c r="I15" i="1"/>
  <c r="I16" i="1"/>
  <c r="I17" i="1"/>
  <c r="H13" i="1"/>
  <c r="H14" i="1"/>
  <c r="H15" i="1"/>
  <c r="H16" i="1"/>
  <c r="H17" i="1"/>
  <c r="H12" i="1"/>
  <c r="C10" i="5" l="1"/>
  <c r="C9" i="5"/>
  <c r="C8" i="5"/>
  <c r="V3" i="11" l="1"/>
  <c r="V3" i="10"/>
  <c r="F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<sst xmlns="http://schemas.openxmlformats.org/spreadsheetml/2006/main" count="263" uniqueCount="169">
  <si>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</si>
  <si>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</si>
  <si>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</si>
  <si>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</si>
  <si>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</si>
  <si>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</si>
  <si>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</si>
  <si>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</si>
  <si>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</si>
  <si>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</si>
  <si>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</si>
  <si>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</si>
  <si>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</si>
  <si>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</si>
  <si>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</si>
  <si>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</si>
  <si>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</si>
  <si>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</si>
  <si>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</si>
  <si>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</si>
  <si>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</si>
  <si>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</si>
  <si>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</si>
  <si>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</si>
  <si>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</si>
  <si>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</si>
  <si>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</si>
  <si>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de más de 33.000 SMMLV</t>
  </si>
  <si>
    <t>CANTIDAD DE PROCESOS ACTIVOS</t>
  </si>
  <si>
    <t>PROCESOS ACTIVOS REGISTRADOS EN EKOGUI</t>
  </si>
  <si>
    <t>PROCESOS SIN ABOGADO ASIGNADO</t>
  </si>
  <si>
    <t>PROCESOS</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</si>
  <si>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</si>
  <si>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</si>
  <si>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</si>
  <si>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</si>
  <si>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</si>
  <si>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</si>
  <si>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</si>
  <si>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</si>
  <si>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</si>
  <si>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</si>
  <si>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</si>
  <si>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</si>
  <si>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</si>
  <si>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</si>
  <si>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</si>
  <si>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</si>
  <si>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</si>
  <si>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Pagos relacionados</t>
  </si>
  <si>
    <t>Uso del módulo pagos</t>
  </si>
  <si>
    <t>Actualización más de 33.000 SMMLV</t>
  </si>
  <si>
    <t>REGISTRO EN 2020</t>
  </si>
  <si>
    <t>REGISTRO EN 2019</t>
  </si>
  <si>
    <t>REGISTRO EN 2018 Y ANTERIORES</t>
  </si>
  <si>
    <t>TOTAL PREJUDICIALES ACTIVOS</t>
  </si>
  <si>
    <t>Prejudiciales</t>
  </si>
  <si>
    <t>TOTAL PREJUDICIALES ACTIVOS EN EKOGUI</t>
  </si>
  <si>
    <t>TOTAL PROCESOS TERMINADOS</t>
  </si>
  <si>
    <t>CANTIDAD PREJUDICIALES</t>
  </si>
  <si>
    <t>Procesos que efectivamente se encuentran activos</t>
  </si>
  <si>
    <t>Proceso que se encuentran terminados</t>
  </si>
  <si>
    <t>TERMINADOS EN EKOGUI</t>
  </si>
  <si>
    <t>PROCESOS TERMINADOS EN 2020</t>
  </si>
  <si>
    <t>PROCESOS ACTIVOS CON ESTADO TERMINADO*</t>
  </si>
  <si>
    <t xml:space="preserve">Procesos de más de 33.000 SMMLV con la pieza demanda </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</si>
  <si>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</si>
  <si>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</si>
  <si>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</si>
  <si>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</si>
  <si>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</si>
  <si>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</si>
  <si>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</si>
  <si>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CON PROVISIÓN IGUAL A CERO</t>
  </si>
  <si>
    <t>Procesos Judiciales</t>
  </si>
  <si>
    <t>TERMINADOS ÚLTIMA ACTUACIÓN EN 2020</t>
  </si>
  <si>
    <t>ARBITRAMENTOS</t>
  </si>
  <si>
    <t>ARBITRAMENTOS ACTIVOS</t>
  </si>
  <si>
    <t>ARBITRAMENTOS REGISTRADOS EN EKOGUI</t>
  </si>
  <si>
    <t>PAGOS</t>
  </si>
  <si>
    <t>Gestiona pagos en SIIF de MinHacienda</t>
  </si>
  <si>
    <t>Pagos enlazados</t>
  </si>
  <si>
    <t>Provisión incorrecta</t>
  </si>
  <si>
    <t>JUDICIALES</t>
  </si>
  <si>
    <t>PREJUDICIALES</t>
  </si>
  <si>
    <t>Plantilla de certificado de Control Interno eKOGUI</t>
  </si>
  <si>
    <t>REGISTRO EN 2019 Y ANTERIORES</t>
  </si>
  <si>
    <t>ACTUALIZADO</t>
  </si>
  <si>
    <t>Entre 21-03-2019 y 31-12-2019</t>
  </si>
  <si>
    <t>PROCESOS SIN ABOGADO ASIGNADO(1)</t>
  </si>
  <si>
    <t>PROCESOS ACTIVOS CON ESTADO TERMINADO(3)</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</si>
  <si>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</si>
  <si>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</si>
  <si>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</si>
  <si>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</si>
  <si>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</si>
  <si>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</si>
  <si>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</si>
  <si>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</si>
  <si>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</si>
  <si>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</si>
  <si>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</si>
  <si>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</si>
  <si>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 información estudios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</si>
  <si>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</si>
  <si>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</si>
  <si>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</si>
  <si>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</si>
  <si>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</si>
  <si>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</si>
  <si>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</si>
  <si>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</si>
  <si>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</si>
  <si>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</si>
  <si>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</si>
  <si>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</si>
  <si>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</si>
  <si>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USUARIOS ACTIVOS</t>
  </si>
  <si>
    <t>Indique la fecha en la que genera el reporte</t>
  </si>
  <si>
    <t>Posteriores al 01-01-2020</t>
  </si>
  <si>
    <t>Fecha de diligenciamiento de plantilla</t>
  </si>
  <si>
    <t>PREJUDICIALES TERMINADOS SEGUNDO SEMESTRE 2020</t>
  </si>
  <si>
    <t>Obs1</t>
  </si>
  <si>
    <t>Obs2</t>
  </si>
  <si>
    <t>Obs3</t>
  </si>
  <si>
    <t>Obs4</t>
  </si>
  <si>
    <t>Obs5</t>
  </si>
  <si>
    <t>Obs6</t>
  </si>
  <si>
    <t>Escriba la fecha de generación del reporte</t>
  </si>
  <si>
    <t>Obs7</t>
  </si>
  <si>
    <t>Fecha reporte Usuarios</t>
  </si>
  <si>
    <t>Fecha reporte Abogados</t>
  </si>
  <si>
    <t>Fecha reporte Judiciales</t>
  </si>
  <si>
    <t>NOMBRE JEFE CONTROL INTERNO</t>
  </si>
  <si>
    <t>Abogados al 30 de junio de 2021</t>
  </si>
  <si>
    <t>ABOGADOS ACTIVOS AL 30-06-2021</t>
  </si>
  <si>
    <t>INACTIVADOS EN EKOGUI PRIMER SEMESTRE 2021</t>
  </si>
  <si>
    <t>RETIRADOS EN LA ENTIDAD PRIMER SEMESTRE 2021</t>
  </si>
  <si>
    <t>PROCESOS TERMINADOS PRIMER SEMESTRE 2021</t>
  </si>
  <si>
    <t>PROCESOS ACTIVOS AL 30 DE JUNIO DE 2021</t>
  </si>
  <si>
    <t>PROCESO TERMINADOS AL 30 DE JUNIO 2021</t>
  </si>
  <si>
    <r>
      <t>(3)En el reporte de activos al 30 de junio verifique la columna</t>
    </r>
    <r>
      <rPr>
        <b/>
        <i/>
        <sz val="9"/>
        <color theme="1"/>
        <rFont val="Calibri"/>
        <family val="2"/>
        <scheme val="minor"/>
      </rPr>
      <t xml:space="preserve"> Estado General del proceso</t>
    </r>
  </si>
  <si>
    <t>PROCESOS ACTIVOS EN CALIDAD DEMANDADO AL 30-06-2021</t>
  </si>
  <si>
    <t>PROCESOS CON CALIFICACIÓN PRIMER SEMESTRE 2021</t>
  </si>
  <si>
    <t>PROCESOS CON CALIFICACIÓN ANTERIOR A 31-12-2020</t>
  </si>
  <si>
    <t>(6) Solo se consideran los procesos activos - calidad demandado al 30 de junio de 2021 que tengan calificación de riesgo</t>
  </si>
  <si>
    <t>PREJUDICIALES ACTIVOS AL 30-06-2021</t>
  </si>
  <si>
    <t>REGISTRO POSTERIOR AL 01/01/2021</t>
  </si>
  <si>
    <t>REGISTRO ENTRE 1 DE ENERO Y 31 DE DICIEMBRE 2020</t>
  </si>
  <si>
    <t>TERMINADOS ÚLTIMA ACTUACIÓN I SEM. 2021</t>
  </si>
  <si>
    <t>TOTAL PREJUDICIALES TERMINADOS I SEM. 2021</t>
  </si>
  <si>
    <t>ARBITRAMENTOS ACTIVOS AL 30-06-2021</t>
  </si>
  <si>
    <t>TOTAL ARBITRAMENTOS TERMINADOS  AL 30-06-2021</t>
  </si>
  <si>
    <t>Pagos enlazados al 30-06-2021</t>
  </si>
  <si>
    <t>(4)Equivalente a un valor indexado de $29.981 millones</t>
  </si>
  <si>
    <t>(1) Con fecha de registro anterior al 15-06-2021</t>
  </si>
  <si>
    <t>PROCESOS TERMINADOS DURANTE PRIMER SEMESTRE 2021</t>
  </si>
  <si>
    <t>TERMINADOS EN EKOGUI DURANTE PRIMER SEMESTRE 2021 (2)</t>
  </si>
  <si>
    <t>(2) Con fecha de actuación en 2021</t>
  </si>
  <si>
    <t>JOSE WILLIAM CASALLAS FANDIÑO</t>
  </si>
  <si>
    <t>JUAN CARLOS GONZALEZ SUAREZ</t>
  </si>
  <si>
    <t>AURA ELVIRA GOMEZ MARTINEZ</t>
  </si>
  <si>
    <t>1. Se siguió observando que con corte a 30 de junio de 2021, la usuario AURA ELVIRA GOMEZ MARTINEZ con rol “Abogado“ continuaba como activo en el sistema, sin embargo, no se encontraba vinculada a la Entidad desde el 30 de junio de 2020, además se observó que continua con la asignación de 25 procesos judiciales activos.
2. Con respecto a la asistencia a capacitaciones convocadas por la ANDJE y/o realizada por el administrador del sistema en relación con la versión 2.0 del Sistema eKOGUI en el rol abogado, no se observó evidencia. Es de anotar que la Oficina Asesora Jurídica informó la participación de 5 capacitaciones pero revisadas dichas certificaciones no estaban relacionadas con el rol de abogado, de conformidad con lo dispuesto en el Decreto 1069 de 2015, numeral 4 del artículo 2.2.3.4.1.9 y numeral 1 del artículo 2.2.3.4.1.13.</t>
  </si>
  <si>
    <t xml:space="preserve">1. Ingreso y retiro de usuarios: De acuerdo con el reporte generado desde el sistema eKOGUI correspondiente al primer semestre de 2021 (corte a 30 de junio de 2021), se identificaron las siguientes situaciones:
- Se continuó observando que no estaban creados los usuarios con rol "Jefe Jurídico", “Jefe Financiero“ y “Enlace de Pagos“.
- Se continuó observando que el usuario con rol “Administrador de la Entidad“ estaba registrado como activo en el sistema a la fecha de la verificación, sin embargo, no está vinculado a la Entidad desde el 30 de junio de 2020.
2. Capacitación: Al respecto se informó por parte de la Oficina Asesora Jurídica que "En los roles de (...) Secretario Técnico del Comité de Conciliación no hubo capacitaciones durante el primer semestre de 2021.". 
En cuanto al usuario con rol “Jefe de Control Interno”, se delegó a contratista de la Oficina de Control Interno la asistencia a capacitación virtual convocada por la ANDJE el 16 de febrero de 2021 con la temática “Perfil Control Interno, Módulos y Funcionalidades”, es de aclarar que, la ANDJE permite que la capacitación para el Jefe de Control Interno sea recibida por un funcionario delegado. </t>
  </si>
  <si>
    <t>Se identificaron los mismos seis (6) procesos prejudiciales activos con registro anterior periodo objeto de verificación, al respecto en el seguimiento correspondiente al segundo semestre de 2020, la Oficina Asesora Jurídica informó lo siguiente: 
Los ID eKOGUI 1403049 y 1403076 corresponden a un registro duplicado, se encuentra terminado y se indicó que el proceso no se puede finalizar en la plataforma.
El ID eKOGUI 1111277 fue registrado en la plataforma Ekogui 1.0 y nunca fue finalizado. Actualmente no es posible terminarlo, porque la plataforma no lo permite.
Los ID eKOGUI 1398091, 1425524 y 1426245 se encuentran terminados, se indicó que no se pueden finalizar en la plataforma.</t>
  </si>
  <si>
    <t>La Oficina Asesora Jurídica informó que durante el primer semestre de 2021 no se canceló suma alguna de dinero por concepto de sentencias, conciliaciones y/o laudos arbitrales.</t>
  </si>
  <si>
    <t>SUPERINTENDENCIA DEL SUBSIDIO FAMILIAR</t>
  </si>
  <si>
    <t xml:space="preserve">1. El proceso con ID EKOGUI 1003436 no tenía abogado asignado. Es de anotar que en el sistema eKOGUI se encontraban 25 procesos activos asignados a un usuario que está desvinculado de la Entidad desde el 30 de junio de 2020.
2. Los procesos con ID EKOGUI 133383 y 160236 registraban en los procesos activos con estado general del proceso  "Terminado" en el sistema eKOGUI, de acuerdo con la base de datos suministrada por la Oficina Asesora Jurídica se observó que no se encuentran terminados.
3. CALIFICACIÓN DEL RIESGO: El proceso con ID eKOGUI 2180392 se encontraba sin calificación del riesgo a 30 de junio de 2021.
Se observaron 25 procesos con calificación del riesgo anterior al 31 de diciembre de 2020, desde el 2 de febrero de 2019 no se han actualizado, lo cual evidencia la inobservancia a lo dispuesto en el numeral 4 del artículo 2.2.3.4.1.10 del Decreto 1069 de 2015, que indica que es función del apoderado: "4. Calificar el riesgo en cada uno de los procesos judiciales a su cargo, con una periodicidad no superior a seis (6) meses, así como cada vez que se profiera una sentencia judicial sobre el mismo, de conformidad con la metodología que determine la Agencia Nacional de Defensa Jurídica del Estado."
4. PROVISIÓN CONTABLE: Se observa provisión incorrecta para ocho (8) procesos teniendo en cuenta que, un (1) proceso con probabilidad de perder el caso alta, registra provision igual a 0, siendo que la pretensión económica es mayor a 0. Por otra parte, se registran siste (7) procesos con probabilidad de perder el caso media y con provisión superior a 0. </t>
  </si>
  <si>
    <t>1. Se reitera la recomendación de adelantar las gestiones pertinentes para que el Representante Legal de la Entidad asigne a un nuevo usuario con el rol “Administrador de la Entidad”, teniendo en cuenta que el usuario que tiene designado ese rol está desvinculado a la Entidad. Asimismo, se debe informar dentro de los 10 días hábiles siguientes de la designación a la Agencia Nacional de Defensa Jurídica (ANDJE), conforme a lo establecido en el artículo 2.2.3.4.1.8. del Decreto 1069 de 2015. 
2.Realizar las activaciones e inactivaciones de los usuarios según corresponda y de acuerdo con las novedades que presenten los usuarios en la Entidad, en ese sentido, se recomienda adelantar las gestiones necesarias  para que se designen los usuarios con rol "Jefe Jurídico", “Jefe Financiero” y “Enlace de Pagos”.
3. Programar asistencia a capacitaciones para los usuarios que se activen para el rol Administrador de la Entidad, Jefe Jurídico, Jefe Financiero y Enlace de Pago, así como para los usuarios con rol Secretario Técnico y rol abogado, con el fin de actualizarse en el funcionamiento de la versión 2.0 del sistema eKOGUI.
4. Teniendo en cuenta que uno de los usuarios con rol abogado se encuentra desvinculado de la Entidad desde el 30 de junio de 2020, con 25 procesos activos asignados, se reitera la recomendación de realizar la desactivación en el sistema, y reasignar los procesos a otro usuario con el rol abogado. 
5. Se reitera la recomendación de asignar abogado en el sistema al proceso activo con ID eKOGUI 1003436.
6. Se reitera la recomendación que incorpore oportunamente la calificación de riesgo de los procesos judiciales y su actualización en el sistema eKOGUI en una periodicidad no superior a 6 meses, así como cada vez que se profiera sentencia, de tal manera, que se garantice el cumplimiento de los plazos señalados en la normatividad vigente. 
Así como, corregir la provisión contable de ocho (8) procesos, conforme a la Resoluciones No. 0075 de 2017 de la SSF y la No. 353 de 2016 de la ANDJE. 
7. Se reitera la recomendación que respecto a los procesos prejudiciales registrados como activos y duplicados en el sistema, que se encuentran terminados y no se han podido finalizar, adelantar las acciones necesarias ante el soporte Ekogui para depurar los mismos.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</si>
</sst>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theme="3"/>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33">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applyAlignment="1"/>
    <xf numFmtId="0" fontId="0" fillId="2" borderId="2" xfId="0" applyFill="1" applyBorder="1" applyAlignment="1"/>
    <xf numFmtId="0" fontId="0" fillId="2" borderId="3" xfId="0" applyFill="1" applyBorder="1" applyAlignment="1"/>
    <xf numFmtId="0" fontId="0" fillId="2" borderId="4" xfId="0" applyFill="1" applyBorder="1"/>
    <xf numFmtId="0" fontId="0" fillId="2" borderId="0"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applyBorder="1" applyAlignment="1"/>
    <xf numFmtId="0" fontId="0" fillId="2" borderId="0" xfId="0" applyFill="1" applyBorder="1" applyAlignment="1"/>
    <xf numFmtId="0" fontId="5" fillId="3" borderId="0" xfId="0" applyFont="1" applyFill="1"/>
    <xf numFmtId="0" fontId="0" fillId="2" borderId="1" xfId="0" applyFill="1" applyBorder="1"/>
    <xf numFmtId="0" fontId="0" fillId="2" borderId="2" xfId="0" applyFill="1" applyBorder="1"/>
    <xf numFmtId="0" fontId="0" fillId="2" borderId="3" xfId="0" applyFill="1" applyBorder="1"/>
    <xf numFmtId="0" fontId="0" fillId="2" borderId="0" xfId="0" applyFill="1" applyBorder="1" applyAlignment="1">
      <alignment vertical="center" wrapText="1"/>
    </xf>
    <xf numFmtId="0" fontId="0" fillId="2" borderId="5" xfId="0" applyFill="1" applyBorder="1" applyAlignment="1">
      <alignment vertical="center" wrapText="1"/>
    </xf>
    <xf numFmtId="0" fontId="9" fillId="2" borderId="0" xfId="0" applyFont="1" applyFill="1" applyBorder="1" applyAlignment="1">
      <alignment vertical="center"/>
    </xf>
    <xf numFmtId="0" fontId="9" fillId="2" borderId="0" xfId="0" applyFont="1" applyFill="1" applyBorder="1" applyAlignment="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Border="1" applyAlignment="1">
      <alignment horizontal="center"/>
    </xf>
    <xf numFmtId="0" fontId="5" fillId="2" borderId="0" xfId="0" applyFont="1" applyFill="1"/>
    <xf numFmtId="0" fontId="0" fillId="0" borderId="9" xfId="0" applyBorder="1"/>
    <xf numFmtId="0" fontId="3" fillId="0" borderId="0" xfId="0" applyFont="1"/>
    <xf numFmtId="9" fontId="0" fillId="0" borderId="9" xfId="1" applyFont="1" applyBorder="1"/>
    <xf numFmtId="0" fontId="0" fillId="0" borderId="0" xfId="0" applyBorder="1" applyAlignment="1"/>
    <xf numFmtId="0" fontId="6" fillId="0" borderId="0" xfId="0" applyFont="1" applyBorder="1" applyAlignment="1"/>
    <xf numFmtId="0" fontId="6" fillId="0" borderId="5" xfId="0" applyFont="1" applyBorder="1" applyAlignment="1"/>
    <xf numFmtId="14" fontId="0" fillId="2" borderId="0" xfId="0" applyNumberFormat="1" applyFill="1"/>
    <xf numFmtId="0" fontId="0" fillId="0" borderId="9" xfId="0" applyFill="1" applyBorder="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11" xfId="0" applyFill="1" applyBorder="1" applyProtection="1">
      <protection hidden="1"/>
    </xf>
    <xf numFmtId="0" fontId="0" fillId="2" borderId="9" xfId="0" applyFill="1" applyBorder="1" applyProtection="1">
      <protection locked="0"/>
    </xf>
    <xf numFmtId="0" fontId="0" fillId="2" borderId="12" xfId="0" applyFill="1" applyBorder="1" applyProtection="1">
      <protection locked="0"/>
    </xf>
    <xf numFmtId="14" fontId="0" fillId="2" borderId="12" xfId="0" applyNumberFormat="1" applyFill="1" applyBorder="1" applyProtection="1">
      <protection locked="0"/>
    </xf>
    <xf numFmtId="14" fontId="0" fillId="2" borderId="9" xfId="0" applyNumberFormat="1" applyFill="1" applyBorder="1" applyProtection="1">
      <protection locked="0"/>
    </xf>
    <xf numFmtId="0" fontId="0" fillId="2" borderId="0" xfId="0" applyFill="1" applyBorder="1" applyProtection="1">
      <protection locked="0"/>
    </xf>
    <xf numFmtId="0" fontId="0" fillId="2" borderId="9" xfId="0" applyFill="1" applyBorder="1" applyAlignment="1" applyProtection="1">
      <protection locked="0"/>
    </xf>
    <xf numFmtId="0" fontId="0" fillId="0" borderId="9" xfId="0" applyBorder="1" applyProtection="1">
      <protection locked="0"/>
    </xf>
    <xf numFmtId="0" fontId="0" fillId="0" borderId="0" xfId="0" applyBorder="1" applyProtection="1">
      <protection locked="0"/>
    </xf>
    <xf numFmtId="0" fontId="4" fillId="2" borderId="0" xfId="0" applyFont="1" applyFill="1" applyBorder="1"/>
    <xf numFmtId="0" fontId="4" fillId="0" borderId="0" xfId="0" applyFont="1"/>
    <xf numFmtId="0" fontId="4" fillId="2" borderId="0" xfId="0" applyFont="1" applyFill="1"/>
    <xf numFmtId="0" fontId="0" fillId="2" borderId="9" xfId="0" applyFill="1" applyBorder="1" applyAlignment="1">
      <alignment vertical="center"/>
    </xf>
    <xf numFmtId="0" fontId="0" fillId="2" borderId="9" xfId="0" applyFill="1" applyBorder="1" applyAlignment="1" applyProtection="1">
      <alignment vertical="center"/>
      <protection locked="0"/>
    </xf>
    <xf numFmtId="0" fontId="0" fillId="2" borderId="0" xfId="0" applyFill="1" applyBorder="1" applyAlignment="1">
      <alignment wrapText="1"/>
    </xf>
    <xf numFmtId="0" fontId="0" fillId="0" borderId="9" xfId="0" applyBorder="1" applyAlignment="1">
      <alignment horizontal="center"/>
    </xf>
    <xf numFmtId="0" fontId="0" fillId="2" borderId="22" xfId="0" applyFill="1" applyBorder="1" applyAlignment="1">
      <alignment horizontal="center" vertical="center"/>
    </xf>
    <xf numFmtId="0" fontId="0" fillId="2" borderId="28" xfId="0" applyFill="1" applyBorder="1"/>
    <xf numFmtId="0" fontId="0" fillId="2" borderId="28" xfId="0" applyFill="1" applyBorder="1" applyProtection="1">
      <protection locked="0"/>
    </xf>
    <xf numFmtId="0" fontId="0" fillId="2" borderId="0" xfId="0" applyFill="1" applyBorder="1" applyAlignment="1" applyProtection="1">
      <protection locked="0"/>
    </xf>
    <xf numFmtId="0" fontId="0" fillId="2" borderId="1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10" fillId="2" borderId="21" xfId="0" applyFont="1" applyFill="1" applyBorder="1" applyAlignment="1">
      <alignment wrapText="1"/>
    </xf>
    <xf numFmtId="14" fontId="0" fillId="2" borderId="27" xfId="0" applyNumberFormat="1" applyFill="1" applyBorder="1" applyProtection="1">
      <protection locked="0"/>
    </xf>
    <xf numFmtId="14" fontId="5" fillId="2" borderId="5" xfId="0" applyNumberFormat="1" applyFont="1" applyFill="1" applyBorder="1"/>
    <xf numFmtId="14" fontId="0" fillId="0" borderId="0" xfId="0" applyNumberFormat="1"/>
    <xf numFmtId="0" fontId="0" fillId="2" borderId="13" xfId="0" applyFill="1" applyBorder="1" applyAlignment="1" applyProtection="1">
      <alignment wrapText="1"/>
      <protection hidden="1"/>
    </xf>
    <xf numFmtId="0" fontId="12" fillId="0" borderId="4" xfId="0" applyFont="1" applyBorder="1" applyAlignment="1">
      <alignment horizontal="center"/>
    </xf>
    <xf numFmtId="0" fontId="12" fillId="0" borderId="0" xfId="0" applyFont="1" applyBorder="1" applyAlignment="1">
      <alignment horizontal="center"/>
    </xf>
    <xf numFmtId="0" fontId="12" fillId="0" borderId="5" xfId="0" applyFont="1" applyBorder="1" applyAlignment="1">
      <alignment horizontal="center"/>
    </xf>
    <xf numFmtId="0" fontId="0" fillId="0" borderId="0" xfId="0" applyBorder="1" applyAlignment="1">
      <alignment horizontal="left" wrapText="1"/>
    </xf>
    <xf numFmtId="0" fontId="7" fillId="2" borderId="4" xfId="0" applyFont="1" applyFill="1" applyBorder="1" applyAlignment="1">
      <alignment horizontal="center"/>
    </xf>
    <xf numFmtId="0" fontId="7" fillId="2" borderId="0" xfId="0" applyFont="1" applyFill="1" applyBorder="1" applyAlignment="1">
      <alignment horizontal="center"/>
    </xf>
    <xf numFmtId="0" fontId="7" fillId="2" borderId="5" xfId="0" applyFont="1" applyFill="1" applyBorder="1" applyAlignment="1">
      <alignment horizontal="center"/>
    </xf>
    <xf numFmtId="0" fontId="0" fillId="2" borderId="23"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lignment horizontal="center"/>
    </xf>
    <xf numFmtId="0" fontId="0" fillId="2" borderId="26" xfId="0" applyFill="1" applyBorder="1" applyAlignment="1">
      <alignment horizont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2" borderId="1"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9" fillId="2" borderId="0" xfId="0" applyFont="1" applyFill="1" applyBorder="1" applyAlignment="1">
      <alignment horizontal="center" vertical="center"/>
    </xf>
    <xf numFmtId="0" fontId="0" fillId="2" borderId="21" xfId="0" applyFill="1" applyBorder="1" applyAlignment="1">
      <alignment horizontal="left" wrapText="1"/>
    </xf>
    <xf numFmtId="0" fontId="0" fillId="0" borderId="0" xfId="0" applyBorder="1" applyAlignment="1">
      <alignment horizontal="center"/>
    </xf>
    <xf numFmtId="0" fontId="0" fillId="0" borderId="1"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4" fillId="2" borderId="2" xfId="0" applyFont="1" applyFill="1" applyBorder="1" applyAlignment="1" applyProtection="1">
      <alignment horizontal="left" vertical="top" wrapText="1"/>
      <protection locked="0"/>
    </xf>
    <xf numFmtId="0" fontId="4" fillId="2" borderId="3" xfId="0" applyFont="1" applyFill="1" applyBorder="1" applyAlignment="1" applyProtection="1">
      <alignment horizontal="left" vertical="top" wrapText="1"/>
      <protection locked="0"/>
    </xf>
    <xf numFmtId="0" fontId="4" fillId="2" borderId="4" xfId="0" applyFont="1" applyFill="1" applyBorder="1" applyAlignment="1" applyProtection="1">
      <alignment horizontal="left" vertical="top" wrapText="1"/>
      <protection locked="0"/>
    </xf>
    <xf numFmtId="0" fontId="4" fillId="2" borderId="0"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xf numFmtId="0" fontId="4" fillId="2" borderId="6" xfId="0" applyFont="1" applyFill="1" applyBorder="1" applyAlignment="1" applyProtection="1">
      <alignment horizontal="left" vertical="top" wrapText="1"/>
      <protection locked="0"/>
    </xf>
    <xf numFmtId="0" fontId="4" fillId="2" borderId="7" xfId="0" applyFont="1" applyFill="1" applyBorder="1" applyAlignment="1" applyProtection="1">
      <alignment horizontal="left" vertical="top" wrapText="1"/>
      <protection locked="0"/>
    </xf>
    <xf numFmtId="0" fontId="4" fillId="2" borderId="8" xfId="0" applyFont="1" applyFill="1" applyBorder="1" applyAlignment="1" applyProtection="1">
      <alignment horizontal="left" vertical="top" wrapText="1"/>
      <protection locked="0"/>
    </xf>
    <xf numFmtId="0" fontId="0" fillId="0" borderId="20" xfId="0" applyBorder="1" applyAlignment="1" applyProtection="1">
      <alignment horizontal="center"/>
      <protection locked="0"/>
    </xf>
    <xf numFmtId="0" fontId="6" fillId="0" borderId="0" xfId="0" applyFont="1" applyBorder="1" applyAlignment="1">
      <alignment horizontal="center"/>
    </xf>
    <xf numFmtId="0" fontId="0" fillId="0" borderId="0"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O18"/>
  <sheetViews>
    <sheetView showGridLines="0" tabSelected="1" topLeftCell="A2" workbookViewId="0">
      <selection activeCell="P16" sqref="P16"/>
    </sheetView>
  </sheetViews>
  <sheetFormatPr baseColWidth="10" defaultRowHeight="15" x14ac:dyDescent="0.25"/>
  <sheetData>
    <row r="1" spans="2:15" ht="15.75" thickBot="1" x14ac:dyDescent="0.3"/>
    <row r="2" spans="2:15" x14ac:dyDescent="0.25">
      <c r="B2" s="2"/>
      <c r="C2" s="3"/>
      <c r="D2" s="3"/>
      <c r="E2" s="3"/>
      <c r="F2" s="3"/>
      <c r="G2" s="3"/>
      <c r="H2" s="3"/>
      <c r="I2" s="3"/>
      <c r="J2" s="3"/>
      <c r="K2" s="3"/>
      <c r="L2" s="3"/>
      <c r="M2" s="3"/>
      <c r="N2" s="3"/>
      <c r="O2" s="4"/>
    </row>
    <row r="3" spans="2:15" ht="23.25" x14ac:dyDescent="0.35">
      <c r="B3" s="84" t="s">
        <v>85</v>
      </c>
      <c r="C3" s="85"/>
      <c r="D3" s="85"/>
      <c r="E3" s="85"/>
      <c r="F3" s="85"/>
      <c r="G3" s="85"/>
      <c r="H3" s="85"/>
      <c r="I3" s="85"/>
      <c r="J3" s="85"/>
      <c r="K3" s="85"/>
      <c r="L3" s="85"/>
      <c r="M3" s="85"/>
      <c r="N3" s="85"/>
      <c r="O3" s="86"/>
    </row>
    <row r="4" spans="2:15" ht="23.25" x14ac:dyDescent="0.35">
      <c r="B4" s="84" t="s">
        <v>11</v>
      </c>
      <c r="C4" s="85"/>
      <c r="D4" s="85"/>
      <c r="E4" s="85"/>
      <c r="F4" s="85"/>
      <c r="G4" s="85"/>
      <c r="H4" s="85"/>
      <c r="I4" s="85"/>
      <c r="J4" s="85"/>
      <c r="K4" s="85"/>
      <c r="L4" s="85"/>
      <c r="M4" s="85"/>
      <c r="N4" s="85"/>
      <c r="O4" s="86"/>
    </row>
    <row r="5" spans="2:15" x14ac:dyDescent="0.25">
      <c r="B5" s="5"/>
      <c r="C5" s="6"/>
      <c r="D5" s="6"/>
      <c r="E5" s="6"/>
      <c r="F5" s="6"/>
      <c r="G5" s="6"/>
      <c r="H5" s="6"/>
      <c r="I5" s="6"/>
      <c r="J5" s="6"/>
      <c r="K5" s="6"/>
      <c r="L5" s="6"/>
      <c r="M5" s="6"/>
      <c r="N5" s="6"/>
      <c r="O5" s="7"/>
    </row>
    <row r="6" spans="2:15" x14ac:dyDescent="0.25">
      <c r="B6" s="5"/>
      <c r="C6" s="87" t="s">
        <v>99</v>
      </c>
      <c r="D6" s="87"/>
      <c r="E6" s="87"/>
      <c r="F6" s="87"/>
      <c r="G6" s="87"/>
      <c r="H6" s="87"/>
      <c r="I6" s="87"/>
      <c r="J6" s="87"/>
      <c r="K6" s="87"/>
      <c r="L6" s="87"/>
      <c r="M6" s="87"/>
      <c r="N6" s="87"/>
      <c r="O6" s="7"/>
    </row>
    <row r="7" spans="2:15" x14ac:dyDescent="0.25">
      <c r="B7" s="5"/>
      <c r="C7" s="87"/>
      <c r="D7" s="87"/>
      <c r="E7" s="87"/>
      <c r="F7" s="87"/>
      <c r="G7" s="87"/>
      <c r="H7" s="87"/>
      <c r="I7" s="87"/>
      <c r="J7" s="87"/>
      <c r="K7" s="87"/>
      <c r="L7" s="87"/>
      <c r="M7" s="87"/>
      <c r="N7" s="87"/>
      <c r="O7" s="7"/>
    </row>
    <row r="8" spans="2:15" x14ac:dyDescent="0.25">
      <c r="B8" s="5"/>
      <c r="C8" s="6"/>
      <c r="D8" s="6"/>
      <c r="E8" s="6"/>
      <c r="F8" s="6"/>
      <c r="G8" s="6"/>
      <c r="H8" s="6"/>
      <c r="I8" s="6"/>
      <c r="J8" s="6"/>
      <c r="K8" s="6"/>
      <c r="L8" s="6"/>
      <c r="M8" s="6"/>
      <c r="N8" s="6"/>
      <c r="O8" s="7"/>
    </row>
    <row r="9" spans="2:15" x14ac:dyDescent="0.25">
      <c r="B9" s="5"/>
      <c r="C9" s="6"/>
      <c r="D9" s="6"/>
      <c r="E9" s="6"/>
      <c r="F9" s="6"/>
      <c r="G9" s="6"/>
      <c r="H9" s="6"/>
      <c r="I9" s="6"/>
      <c r="J9" s="6"/>
      <c r="K9" s="6"/>
      <c r="L9" s="6"/>
      <c r="M9" s="6"/>
      <c r="N9" s="6"/>
      <c r="O9" s="7"/>
    </row>
    <row r="10" spans="2:15" x14ac:dyDescent="0.25">
      <c r="B10" s="5"/>
      <c r="C10" s="6"/>
      <c r="D10" s="6"/>
      <c r="E10" s="6"/>
      <c r="F10" s="6"/>
      <c r="G10" s="6"/>
      <c r="H10" s="6"/>
      <c r="I10" s="6"/>
      <c r="J10" s="6"/>
      <c r="K10" s="6"/>
      <c r="L10" s="6"/>
      <c r="M10" s="6"/>
      <c r="N10" s="6"/>
      <c r="O10" s="7"/>
    </row>
    <row r="11" spans="2:15" x14ac:dyDescent="0.25">
      <c r="B11" s="5"/>
      <c r="C11" s="6"/>
      <c r="D11" s="6"/>
      <c r="E11" s="6"/>
      <c r="F11" s="6"/>
      <c r="G11" s="6"/>
      <c r="H11" s="6"/>
      <c r="I11" s="6"/>
      <c r="J11" s="6"/>
      <c r="K11" s="6"/>
      <c r="L11" s="6"/>
      <c r="M11" s="6"/>
      <c r="N11" s="6"/>
      <c r="O11" s="7"/>
    </row>
    <row r="12" spans="2:15" x14ac:dyDescent="0.25">
      <c r="B12" s="5"/>
      <c r="C12" s="6"/>
      <c r="D12" s="6"/>
      <c r="E12" s="6"/>
      <c r="F12" s="6"/>
      <c r="G12" s="6"/>
      <c r="H12" s="6"/>
      <c r="I12" s="6"/>
      <c r="J12" s="6"/>
      <c r="K12" s="6"/>
      <c r="L12" s="6"/>
      <c r="M12" s="6"/>
      <c r="N12" s="6"/>
      <c r="O12" s="7"/>
    </row>
    <row r="13" spans="2:15" x14ac:dyDescent="0.25">
      <c r="B13" s="5"/>
      <c r="C13" s="6"/>
      <c r="D13" s="6"/>
      <c r="E13" s="6"/>
      <c r="F13" s="6"/>
      <c r="G13" s="6"/>
      <c r="H13" s="6"/>
      <c r="I13" s="6"/>
      <c r="J13" s="6"/>
      <c r="K13" s="6"/>
      <c r="L13" s="6"/>
      <c r="M13" s="6"/>
      <c r="N13" s="6"/>
      <c r="O13" s="7"/>
    </row>
    <row r="14" spans="2:15" x14ac:dyDescent="0.25">
      <c r="B14" s="5"/>
      <c r="C14" s="6"/>
      <c r="D14" s="6"/>
      <c r="E14" s="6"/>
      <c r="F14" s="6"/>
      <c r="G14" s="6"/>
      <c r="H14" s="6"/>
      <c r="I14" s="6"/>
      <c r="J14" s="6"/>
      <c r="K14" s="6"/>
      <c r="L14" s="6"/>
      <c r="M14" s="6"/>
      <c r="N14" s="6"/>
      <c r="O14" s="7"/>
    </row>
    <row r="15" spans="2:15" x14ac:dyDescent="0.25">
      <c r="B15" s="5"/>
      <c r="C15" s="6"/>
      <c r="D15" s="6"/>
      <c r="E15" s="6"/>
      <c r="F15" s="6"/>
      <c r="G15" s="6"/>
      <c r="H15" s="6"/>
      <c r="I15" s="6"/>
      <c r="J15" s="6"/>
      <c r="K15" s="6"/>
      <c r="L15" s="6"/>
      <c r="M15" s="6"/>
      <c r="N15" s="6"/>
      <c r="O15" s="7"/>
    </row>
    <row r="16" spans="2:15" x14ac:dyDescent="0.25">
      <c r="B16" s="5"/>
      <c r="C16" s="6"/>
      <c r="D16" s="6"/>
      <c r="E16" s="6"/>
      <c r="F16" s="6"/>
      <c r="G16" s="6"/>
      <c r="H16" s="6"/>
      <c r="I16" s="6"/>
      <c r="J16" s="6"/>
      <c r="K16" s="6"/>
      <c r="L16" s="6"/>
      <c r="M16" s="6"/>
      <c r="N16" s="6"/>
      <c r="O16" s="7"/>
    </row>
    <row r="17" spans="2:15" x14ac:dyDescent="0.25">
      <c r="B17" s="5"/>
      <c r="C17" s="6"/>
      <c r="D17" s="6"/>
      <c r="E17" s="6"/>
      <c r="F17" s="6"/>
      <c r="G17" s="6"/>
      <c r="H17" s="6"/>
      <c r="I17" s="6"/>
      <c r="J17" s="6"/>
      <c r="K17" s="6"/>
      <c r="L17" s="6"/>
      <c r="M17" s="6"/>
      <c r="N17" s="6"/>
      <c r="O17" s="7"/>
    </row>
    <row r="18" spans="2:15" ht="15.75" thickBot="1" x14ac:dyDescent="0.3">
      <c r="B18" s="8"/>
      <c r="C18" s="9"/>
      <c r="D18" s="9"/>
      <c r="E18" s="9"/>
      <c r="F18" s="9"/>
      <c r="G18" s="9"/>
      <c r="H18" s="9"/>
      <c r="I18" s="9"/>
      <c r="J18" s="9"/>
      <c r="K18" s="9"/>
      <c r="L18" s="9"/>
      <c r="M18" s="9"/>
      <c r="N18" s="9"/>
      <c r="O18" s="10"/>
    </row>
  </sheetData>
  <sheetProtection algorithmName="SHA-512" hashValue="v+OGTlq+q6Oae72VDN+sgjj2bIwwaNs7K3QlBBMEg8LflToLDQY2HVkS7v5GxJ3ePdMJEq1YOdX8GVr8ULdAAw==" saltValue="VUPC38ch+z74Wo07QKnkBQ==" spinCount="100000" sheet="1" objects="1" scenarios="1"/>
  <mergeCells count="3">
    <mergeCell ref="B3:O3"/>
    <mergeCell ref="B4:O4"/>
    <mergeCell ref="C6:N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19"/>
  <sheetViews>
    <sheetView topLeftCell="A6" workbookViewId="0">
      <selection activeCell="C19" sqref="C19:G19"/>
    </sheetView>
  </sheetViews>
  <sheetFormatPr baseColWidth="10"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42"/>
    <col min="10" max="10" width="11.85546875" style="42" bestFit="1" customWidth="1"/>
    <col min="11" max="16384" width="11.42578125" style="1"/>
  </cols>
  <sheetData>
    <row r="5" spans="2:20" ht="15.75" thickBot="1" x14ac:dyDescent="0.3"/>
    <row r="6" spans="2:20" x14ac:dyDescent="0.25">
      <c r="B6" s="11"/>
      <c r="C6" s="12"/>
      <c r="D6" s="12"/>
      <c r="E6" s="12"/>
      <c r="F6" s="12"/>
      <c r="G6" s="13"/>
    </row>
    <row r="7" spans="2:20" ht="21" x14ac:dyDescent="0.35">
      <c r="B7" s="88" t="s">
        <v>117</v>
      </c>
      <c r="C7" s="89"/>
      <c r="D7" s="89"/>
      <c r="E7" s="89"/>
      <c r="F7" s="89"/>
      <c r="G7" s="90"/>
      <c r="T7" s="1" t="s">
        <v>12</v>
      </c>
    </row>
    <row r="8" spans="2:20" ht="15.75" thickBot="1" x14ac:dyDescent="0.3">
      <c r="B8" s="14"/>
      <c r="C8" s="15"/>
      <c r="D8" s="15"/>
      <c r="E8" s="15"/>
      <c r="F8" s="15"/>
      <c r="G8" s="16"/>
      <c r="T8" s="1" t="s">
        <v>13</v>
      </c>
    </row>
    <row r="9" spans="2:20" ht="15.75" thickBot="1" x14ac:dyDescent="0.3">
      <c r="B9" s="93" t="s">
        <v>128</v>
      </c>
      <c r="C9" s="94"/>
      <c r="D9" s="80">
        <v>44433</v>
      </c>
      <c r="E9" s="15"/>
      <c r="F9" s="15"/>
      <c r="G9" s="16"/>
      <c r="T9" s="1" t="s">
        <v>14</v>
      </c>
    </row>
    <row r="10" spans="2:20" x14ac:dyDescent="0.25">
      <c r="B10" s="14"/>
      <c r="C10" s="15"/>
      <c r="D10" s="15"/>
      <c r="E10" s="15"/>
      <c r="F10" s="15"/>
      <c r="G10" s="81">
        <v>43545</v>
      </c>
    </row>
    <row r="11" spans="2:20" x14ac:dyDescent="0.25">
      <c r="B11" s="22" t="s">
        <v>15</v>
      </c>
      <c r="C11" s="23" t="s">
        <v>16</v>
      </c>
      <c r="D11" s="24" t="s">
        <v>6</v>
      </c>
      <c r="E11" s="23" t="s">
        <v>7</v>
      </c>
      <c r="F11" s="23" t="s">
        <v>17</v>
      </c>
      <c r="G11" s="25" t="s">
        <v>87</v>
      </c>
    </row>
    <row r="12" spans="2:20" x14ac:dyDescent="0.25">
      <c r="B12" s="21" t="s">
        <v>0</v>
      </c>
      <c r="C12" s="57" t="s">
        <v>13</v>
      </c>
      <c r="D12" s="60"/>
      <c r="E12" s="58"/>
      <c r="F12" s="59"/>
      <c r="G12" s="56" t="str">
        <f>+IF(C12="SI",IF(F12&lt;$G$10,"DESACTUALIZADO",""),"")</f>
        <v/>
      </c>
      <c r="H12" s="42">
        <f t="shared" ref="H12:H17" si="0">+IF(C12="N/A",1,0)</f>
        <v>0</v>
      </c>
      <c r="I12" s="42">
        <f t="shared" ref="I12:I17" si="1">+IF(C12="Si",1,0)</f>
        <v>0</v>
      </c>
      <c r="J12" s="42">
        <f t="shared" ref="J12:J17" si="2">+IF(C12="No",1,0)</f>
        <v>1</v>
      </c>
    </row>
    <row r="13" spans="2:20" x14ac:dyDescent="0.25">
      <c r="B13" s="21" t="s">
        <v>1</v>
      </c>
      <c r="C13" s="57" t="s">
        <v>13</v>
      </c>
      <c r="D13" s="60"/>
      <c r="E13" s="58"/>
      <c r="F13" s="59"/>
      <c r="G13" s="56" t="str">
        <f t="shared" ref="G13:G17" si="3">+IF(C13="SI",IF(F13&lt;$G$10,"DESACTUALIZADO",""),"")</f>
        <v/>
      </c>
      <c r="H13" s="42">
        <f t="shared" si="0"/>
        <v>0</v>
      </c>
      <c r="I13" s="42">
        <f t="shared" si="1"/>
        <v>0</v>
      </c>
      <c r="J13" s="42">
        <f t="shared" si="2"/>
        <v>1</v>
      </c>
    </row>
    <row r="14" spans="2:20" x14ac:dyDescent="0.25">
      <c r="B14" s="21" t="s">
        <v>2</v>
      </c>
      <c r="C14" s="57" t="s">
        <v>13</v>
      </c>
      <c r="D14" s="60"/>
      <c r="E14" s="58"/>
      <c r="F14" s="59"/>
      <c r="G14" s="56" t="str">
        <f t="shared" si="3"/>
        <v/>
      </c>
      <c r="H14" s="42">
        <f t="shared" si="0"/>
        <v>0</v>
      </c>
      <c r="I14" s="42">
        <f t="shared" si="1"/>
        <v>0</v>
      </c>
      <c r="J14" s="42">
        <f t="shared" si="2"/>
        <v>1</v>
      </c>
      <c r="T14" s="49">
        <v>43545</v>
      </c>
    </row>
    <row r="15" spans="2:20" x14ac:dyDescent="0.25">
      <c r="B15" s="21" t="s">
        <v>3</v>
      </c>
      <c r="C15" s="57" t="s">
        <v>12</v>
      </c>
      <c r="D15" s="60">
        <v>42933</v>
      </c>
      <c r="E15" s="58" t="s">
        <v>159</v>
      </c>
      <c r="F15" s="59">
        <v>44243</v>
      </c>
      <c r="G15" s="56" t="str">
        <f t="shared" si="3"/>
        <v/>
      </c>
      <c r="H15" s="42">
        <f t="shared" si="0"/>
        <v>0</v>
      </c>
      <c r="I15" s="42">
        <f t="shared" si="1"/>
        <v>1</v>
      </c>
      <c r="J15" s="42">
        <f t="shared" si="2"/>
        <v>0</v>
      </c>
    </row>
    <row r="16" spans="2:20" x14ac:dyDescent="0.25">
      <c r="B16" s="21" t="s">
        <v>4</v>
      </c>
      <c r="C16" s="57" t="s">
        <v>12</v>
      </c>
      <c r="D16" s="60">
        <v>43706</v>
      </c>
      <c r="E16" s="58" t="s">
        <v>160</v>
      </c>
      <c r="F16" s="60"/>
      <c r="G16" s="56" t="str">
        <f t="shared" si="3"/>
        <v>DESACTUALIZADO</v>
      </c>
      <c r="H16" s="42">
        <f t="shared" si="0"/>
        <v>0</v>
      </c>
      <c r="I16" s="42">
        <f t="shared" si="1"/>
        <v>1</v>
      </c>
      <c r="J16" s="42">
        <f t="shared" si="2"/>
        <v>0</v>
      </c>
    </row>
    <row r="17" spans="2:10" x14ac:dyDescent="0.25">
      <c r="B17" s="21" t="s">
        <v>5</v>
      </c>
      <c r="C17" s="57" t="s">
        <v>12</v>
      </c>
      <c r="D17" s="60">
        <v>43528</v>
      </c>
      <c r="E17" s="58" t="s">
        <v>161</v>
      </c>
      <c r="F17" s="59"/>
      <c r="G17" s="56" t="str">
        <f t="shared" si="3"/>
        <v>DESACTUALIZADO</v>
      </c>
      <c r="H17" s="42">
        <f t="shared" si="0"/>
        <v>0</v>
      </c>
      <c r="I17" s="42">
        <f t="shared" si="1"/>
        <v>1</v>
      </c>
      <c r="J17" s="42">
        <f t="shared" si="2"/>
        <v>0</v>
      </c>
    </row>
    <row r="18" spans="2:10" x14ac:dyDescent="0.25">
      <c r="B18" s="14"/>
      <c r="C18" s="15"/>
      <c r="D18" s="15"/>
      <c r="E18" s="15"/>
      <c r="F18" s="15"/>
      <c r="G18" s="16"/>
    </row>
    <row r="19" spans="2:10" ht="94.5" customHeight="1" thickBot="1" x14ac:dyDescent="0.3">
      <c r="B19" s="72" t="s">
        <v>102</v>
      </c>
      <c r="C19" s="91" t="s">
        <v>163</v>
      </c>
      <c r="D19" s="91"/>
      <c r="E19" s="91"/>
      <c r="F19" s="91"/>
      <c r="G19" s="92"/>
    </row>
  </sheetData>
  <sheetProtection algorithmName="SHA-512" hashValue="678u2HcNEL4JGQ7xicFOz0k/sSoNaoiSp508kdxKxvQ4eapnU6CIE2xIBkOiWu553Z3j5D2BJ48a0s2IoPgf1g==" saltValue="i8uwVTOFvUGJfKZ99Y2WrA==" spinCount="100000" sheet="1" objects="1" scenarios="1"/>
  <mergeCells count="3">
    <mergeCell ref="B7:G7"/>
    <mergeCell ref="C19:G19"/>
    <mergeCell ref="B9:C9"/>
  </mergeCells>
  <dataValidations count="3">
    <dataValidation type="list" allowBlank="1" showInputMessage="1" showErrorMessage="1" sqref="C12:C17" xr:uid="{00000000-0002-0000-0100-000001000000}">
      <formula1>$T$7:$T$9</formula1>
    </dataValidation>
    <dataValidation type="date" allowBlank="1" showInputMessage="1" showErrorMessage="1" sqref="D9" xr:uid="{0695AC47-2643-4296-9D5B-F263ED290FA5}">
      <formula1>44378</formula1>
      <formula2>44439</formula2>
    </dataValidation>
    <dataValidation type="date" allowBlank="1" showInputMessage="1" showErrorMessage="1" sqref="D12:D17 F12:F17" xr:uid="{1D03F651-1DE0-4826-BD43-5787EEA45BD9}">
      <formula1>40544</formula1>
      <formula2>44439</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V25"/>
  <sheetViews>
    <sheetView showGridLines="0" topLeftCell="A9" workbookViewId="0">
      <selection activeCell="I21" sqref="I21"/>
    </sheetView>
  </sheetViews>
  <sheetFormatPr baseColWidth="10" defaultRowHeight="15" x14ac:dyDescent="0.25"/>
  <cols>
    <col min="1" max="1" width="3.85546875" style="1" customWidth="1"/>
    <col min="2" max="2" width="11.42578125" style="1"/>
    <col min="3" max="3" width="48.140625" style="1" bestFit="1" customWidth="1"/>
    <col min="4" max="4" width="20.85546875" style="1" customWidth="1"/>
    <col min="5" max="5" width="6.28515625" style="1" customWidth="1"/>
    <col min="6" max="6" width="41.42578125" style="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f>+IF(D12&lt;=10,D12,IF(ROUNDDOWN(D12*10%,0)&lt;10,10,ROUNDDOWN(D12*10%,0)))</f>
        <v>2</v>
      </c>
    </row>
    <row r="4" spans="2:22" x14ac:dyDescent="0.25">
      <c r="B4" s="14"/>
      <c r="C4" s="15"/>
      <c r="D4" s="15"/>
      <c r="E4" s="15"/>
      <c r="F4" s="15"/>
      <c r="G4" s="15"/>
      <c r="H4" s="16"/>
    </row>
    <row r="5" spans="2:22" x14ac:dyDescent="0.25">
      <c r="B5" s="14"/>
      <c r="C5" s="15"/>
      <c r="D5" s="15"/>
      <c r="E5" s="15"/>
      <c r="F5" s="15"/>
      <c r="G5" s="15"/>
      <c r="H5" s="16"/>
    </row>
    <row r="6" spans="2:22" ht="15" customHeight="1" x14ac:dyDescent="0.25">
      <c r="B6" s="14"/>
      <c r="C6" s="27"/>
      <c r="D6" s="27"/>
      <c r="E6" s="27"/>
      <c r="G6" s="32"/>
      <c r="H6" s="33"/>
    </row>
    <row r="7" spans="2:22" ht="17.25" customHeight="1" x14ac:dyDescent="0.35">
      <c r="B7" s="14"/>
      <c r="C7" s="20" t="s">
        <v>118</v>
      </c>
      <c r="D7" s="60">
        <v>44433</v>
      </c>
      <c r="E7" s="26"/>
      <c r="F7" s="95" t="str">
        <f>"Seleccione una muestra de "&amp;V3&amp;" abogados activos y complete la siguiente tabla"</f>
        <v>Seleccione una muestra de 2 abogados activos y complete la siguiente tabla</v>
      </c>
      <c r="G7" s="96"/>
      <c r="H7" s="33"/>
    </row>
    <row r="8" spans="2:22" x14ac:dyDescent="0.25">
      <c r="B8" s="14"/>
      <c r="D8" s="15"/>
      <c r="E8" s="15"/>
      <c r="F8" s="97"/>
      <c r="G8" s="98"/>
      <c r="H8" s="16"/>
      <c r="T8" s="1" t="s">
        <v>13</v>
      </c>
    </row>
    <row r="9" spans="2:22" ht="23.25" x14ac:dyDescent="0.25">
      <c r="B9" s="14"/>
      <c r="C9" s="34" t="s">
        <v>134</v>
      </c>
      <c r="E9" s="6"/>
      <c r="F9" s="24" t="s">
        <v>106</v>
      </c>
      <c r="G9" s="24" t="s">
        <v>19</v>
      </c>
      <c r="H9" s="16"/>
      <c r="T9" s="1" t="s">
        <v>14</v>
      </c>
    </row>
    <row r="10" spans="2:22" x14ac:dyDescent="0.25">
      <c r="B10" s="14"/>
      <c r="C10" s="23" t="s">
        <v>135</v>
      </c>
      <c r="D10" s="23" t="s">
        <v>23</v>
      </c>
      <c r="E10" s="6"/>
      <c r="F10" s="20" t="s">
        <v>103</v>
      </c>
      <c r="G10" s="57">
        <v>2</v>
      </c>
      <c r="H10" s="16"/>
    </row>
    <row r="11" spans="2:22" x14ac:dyDescent="0.25">
      <c r="B11" s="14"/>
      <c r="C11" s="20" t="s">
        <v>21</v>
      </c>
      <c r="D11" s="57">
        <v>1</v>
      </c>
      <c r="E11" s="6"/>
      <c r="F11" s="20" t="s">
        <v>104</v>
      </c>
      <c r="G11" s="57">
        <v>2</v>
      </c>
      <c r="H11" s="16"/>
    </row>
    <row r="12" spans="2:22" x14ac:dyDescent="0.25">
      <c r="B12" s="14"/>
      <c r="C12" s="20" t="s">
        <v>22</v>
      </c>
      <c r="D12" s="57">
        <v>2</v>
      </c>
      <c r="E12" s="6"/>
      <c r="F12" s="20" t="s">
        <v>105</v>
      </c>
      <c r="G12" s="57">
        <v>2</v>
      </c>
      <c r="H12" s="16"/>
    </row>
    <row r="13" spans="2:22" x14ac:dyDescent="0.25">
      <c r="B13" s="14"/>
      <c r="C13" s="20" t="s">
        <v>26</v>
      </c>
      <c r="D13" s="57">
        <v>1</v>
      </c>
      <c r="E13" s="6"/>
      <c r="F13" s="53" t="s">
        <v>111</v>
      </c>
      <c r="G13" s="52"/>
      <c r="H13" s="16"/>
    </row>
    <row r="14" spans="2:22" x14ac:dyDescent="0.25">
      <c r="B14" s="14"/>
      <c r="C14" s="20" t="s">
        <v>20</v>
      </c>
      <c r="D14" s="57">
        <v>2</v>
      </c>
      <c r="E14" s="6"/>
      <c r="F14" s="54" t="s">
        <v>112</v>
      </c>
      <c r="G14" s="55"/>
      <c r="H14" s="16"/>
    </row>
    <row r="15" spans="2:22" x14ac:dyDescent="0.25">
      <c r="B15" s="14"/>
      <c r="E15" s="6"/>
      <c r="H15" s="16"/>
    </row>
    <row r="16" spans="2:22" x14ac:dyDescent="0.25">
      <c r="B16" s="14"/>
      <c r="C16" s="23" t="s">
        <v>24</v>
      </c>
      <c r="D16" s="23" t="s">
        <v>23</v>
      </c>
      <c r="E16" s="6"/>
      <c r="F16" s="24" t="s">
        <v>115</v>
      </c>
      <c r="G16" s="24" t="s">
        <v>19</v>
      </c>
      <c r="H16" s="16"/>
    </row>
    <row r="17" spans="2:8" x14ac:dyDescent="0.25">
      <c r="B17" s="14"/>
      <c r="C17" s="20" t="s">
        <v>137</v>
      </c>
      <c r="D17" s="57">
        <v>0</v>
      </c>
      <c r="E17" s="6"/>
      <c r="F17" s="20" t="s">
        <v>119</v>
      </c>
      <c r="G17" s="57">
        <v>0</v>
      </c>
      <c r="H17" s="16"/>
    </row>
    <row r="18" spans="2:8" x14ac:dyDescent="0.25">
      <c r="B18" s="14"/>
      <c r="C18" s="20" t="s">
        <v>136</v>
      </c>
      <c r="D18" s="57">
        <v>0</v>
      </c>
      <c r="E18" s="6"/>
      <c r="F18" s="50" t="s">
        <v>88</v>
      </c>
      <c r="G18" s="57">
        <v>0</v>
      </c>
      <c r="H18" s="16"/>
    </row>
    <row r="19" spans="2:8" x14ac:dyDescent="0.25">
      <c r="B19" s="14"/>
      <c r="C19" s="67"/>
      <c r="E19" s="6"/>
      <c r="F19" s="20" t="s">
        <v>108</v>
      </c>
      <c r="G19" s="57">
        <v>0</v>
      </c>
      <c r="H19" s="16"/>
    </row>
    <row r="20" spans="2:8" ht="15.75" thickBot="1" x14ac:dyDescent="0.3">
      <c r="B20" s="14"/>
      <c r="C20" s="67" t="s">
        <v>107</v>
      </c>
      <c r="D20" s="75"/>
      <c r="E20" s="6"/>
      <c r="F20" s="73" t="s">
        <v>25</v>
      </c>
      <c r="G20" s="74">
        <v>2</v>
      </c>
      <c r="H20" s="16"/>
    </row>
    <row r="21" spans="2:8" x14ac:dyDescent="0.25">
      <c r="B21" s="14"/>
      <c r="C21" s="99" t="s">
        <v>162</v>
      </c>
      <c r="D21" s="100"/>
      <c r="E21" s="100"/>
      <c r="F21" s="100"/>
      <c r="G21" s="101"/>
      <c r="H21" s="16"/>
    </row>
    <row r="22" spans="2:8" x14ac:dyDescent="0.25">
      <c r="B22" s="14"/>
      <c r="C22" s="102"/>
      <c r="D22" s="103"/>
      <c r="E22" s="103"/>
      <c r="F22" s="103"/>
      <c r="G22" s="104"/>
      <c r="H22" s="16"/>
    </row>
    <row r="23" spans="2:8" x14ac:dyDescent="0.25">
      <c r="B23" s="14"/>
      <c r="C23" s="102"/>
      <c r="D23" s="103"/>
      <c r="E23" s="103"/>
      <c r="F23" s="103"/>
      <c r="G23" s="104"/>
      <c r="H23" s="16"/>
    </row>
    <row r="24" spans="2:8" ht="15.75" thickBot="1" x14ac:dyDescent="0.3">
      <c r="B24" s="14"/>
      <c r="C24" s="105"/>
      <c r="D24" s="106"/>
      <c r="E24" s="106"/>
      <c r="F24" s="106"/>
      <c r="G24" s="107"/>
      <c r="H24" s="16"/>
    </row>
    <row r="25" spans="2:8" ht="15.75" thickBot="1" x14ac:dyDescent="0.3">
      <c r="B25" s="17"/>
      <c r="C25" s="18"/>
      <c r="D25" s="18"/>
      <c r="E25" s="18"/>
      <c r="F25" s="18"/>
      <c r="G25" s="18"/>
      <c r="H25" s="19"/>
    </row>
  </sheetData>
  <sheetProtection algorithmName="SHA-512" hashValue="rb/3VNYOaOrNAKfVd2Bu97DAaTMB+8ludFMeJSLRVTY3sRYluz0fBeQimwuoyy+y566A+D8mXHiEMGfHIWwLyA==" saltValue="23gwLC8xRSDKhOIJw8RYyg==" spinCount="100000" sheet="1"/>
  <mergeCells count="2">
    <mergeCell ref="F7:G8"/>
    <mergeCell ref="C21:G24"/>
  </mergeCells>
  <dataValidations count="1">
    <dataValidation type="date" allowBlank="1" showInputMessage="1" showErrorMessage="1" sqref="D7" xr:uid="{00000000-0002-0000-0200-000000000000}">
      <formula1>44378</formula1>
      <formula2>44439</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4"/>
  <sheetViews>
    <sheetView showGridLines="0" topLeftCell="A17" zoomScale="98" zoomScaleNormal="98" workbookViewId="0">
      <selection activeCell="F28" sqref="F28:H33"/>
    </sheetView>
  </sheetViews>
  <sheetFormatPr baseColWidth="10" defaultRowHeight="15" x14ac:dyDescent="0.25"/>
  <cols>
    <col min="1" max="1" width="3.85546875" style="1" customWidth="1"/>
    <col min="2" max="2" width="11.42578125" style="1"/>
    <col min="3" max="3" width="56.5703125" style="1" bestFit="1" customWidth="1"/>
    <col min="4" max="4" width="15.28515625" style="1" customWidth="1"/>
    <col min="5" max="5" width="6.28515625" style="1" customWidth="1"/>
    <col min="6" max="6" width="55.85546875" style="1" bestFit="1" customWidth="1"/>
    <col min="7" max="7" width="11.28515625" style="1" customWidth="1"/>
    <col min="8" max="8" width="15.28515625" style="1" customWidth="1"/>
    <col min="9" max="9" width="7.28515625" style="1" customWidth="1"/>
    <col min="10" max="16384" width="11.42578125" style="1"/>
  </cols>
  <sheetData>
    <row r="1" spans="2:23" ht="15.75" thickBot="1" x14ac:dyDescent="0.3"/>
    <row r="2" spans="2:23" ht="9" customHeight="1" x14ac:dyDescent="0.25">
      <c r="B2" s="29"/>
      <c r="C2" s="30"/>
      <c r="D2" s="30"/>
      <c r="E2" s="30"/>
      <c r="F2" s="30"/>
      <c r="G2" s="30"/>
      <c r="H2" s="30"/>
      <c r="I2" s="31"/>
    </row>
    <row r="3" spans="2:23" x14ac:dyDescent="0.25">
      <c r="B3" s="14"/>
      <c r="C3" s="15"/>
      <c r="D3" s="15"/>
      <c r="E3" s="15"/>
      <c r="F3" s="15"/>
      <c r="G3" s="15"/>
      <c r="H3" s="15"/>
      <c r="I3" s="16"/>
      <c r="W3" s="28">
        <f>+IF(D17&lt;=10,D17,IF(ROUNDDOWN(D17*10%,0)&lt;10,10,ROUNDDOWN(D17*10%,0)))</f>
        <v>0</v>
      </c>
    </row>
    <row r="4" spans="2:23" x14ac:dyDescent="0.25">
      <c r="B4" s="14"/>
      <c r="C4" s="15"/>
      <c r="D4" s="15"/>
      <c r="E4" s="15"/>
      <c r="F4" s="15"/>
      <c r="G4" s="15"/>
      <c r="H4" s="15"/>
      <c r="I4" s="16"/>
    </row>
    <row r="5" spans="2:23" ht="9" customHeight="1" x14ac:dyDescent="0.25">
      <c r="B5" s="14"/>
      <c r="C5" s="15"/>
      <c r="D5" s="15"/>
      <c r="E5" s="15"/>
      <c r="F5" s="15"/>
      <c r="G5" s="15"/>
      <c r="H5" s="15"/>
      <c r="I5" s="16"/>
    </row>
    <row r="6" spans="2:23" ht="19.5" customHeight="1" x14ac:dyDescent="0.25">
      <c r="B6" s="14"/>
      <c r="C6" s="111" t="s">
        <v>74</v>
      </c>
      <c r="D6" s="111"/>
      <c r="E6" s="111"/>
      <c r="F6" s="111"/>
      <c r="G6" s="111"/>
      <c r="H6" s="111"/>
      <c r="I6" s="33"/>
    </row>
    <row r="7" spans="2:23" x14ac:dyDescent="0.25">
      <c r="B7" s="14"/>
      <c r="C7" s="15"/>
      <c r="D7" s="15"/>
      <c r="E7" s="15"/>
      <c r="F7" s="15"/>
      <c r="G7" s="15"/>
      <c r="H7" s="15"/>
      <c r="I7" s="16"/>
      <c r="U7" s="1" t="s">
        <v>13</v>
      </c>
    </row>
    <row r="8" spans="2:23" x14ac:dyDescent="0.25">
      <c r="B8" s="14"/>
      <c r="C8" s="23" t="s">
        <v>120</v>
      </c>
      <c r="D8" s="60">
        <v>44433</v>
      </c>
      <c r="E8" s="6"/>
      <c r="F8" s="37" t="s">
        <v>114</v>
      </c>
      <c r="G8" s="37" t="s">
        <v>18</v>
      </c>
      <c r="H8" s="15"/>
      <c r="I8" s="16"/>
      <c r="U8" s="1" t="s">
        <v>14</v>
      </c>
    </row>
    <row r="9" spans="2:23" x14ac:dyDescent="0.25">
      <c r="B9" s="14"/>
      <c r="E9" s="6"/>
      <c r="F9" s="20" t="s">
        <v>27</v>
      </c>
      <c r="G9" s="57">
        <v>0</v>
      </c>
      <c r="H9" s="15"/>
      <c r="I9" s="16"/>
    </row>
    <row r="10" spans="2:23" x14ac:dyDescent="0.25">
      <c r="B10" s="14"/>
      <c r="C10" s="23" t="s">
        <v>139</v>
      </c>
      <c r="D10" s="23" t="s">
        <v>23</v>
      </c>
      <c r="E10" s="6"/>
      <c r="F10" s="20" t="s">
        <v>66</v>
      </c>
      <c r="G10" s="57">
        <v>0</v>
      </c>
      <c r="H10" s="15"/>
      <c r="I10" s="16"/>
    </row>
    <row r="11" spans="2:23" x14ac:dyDescent="0.25">
      <c r="B11" s="14"/>
      <c r="C11" s="20" t="s">
        <v>28</v>
      </c>
      <c r="D11" s="57">
        <v>32</v>
      </c>
      <c r="E11" s="6"/>
      <c r="F11" s="20" t="s">
        <v>91</v>
      </c>
      <c r="G11" s="57">
        <v>0</v>
      </c>
      <c r="H11" s="15"/>
      <c r="I11" s="16"/>
    </row>
    <row r="12" spans="2:23" x14ac:dyDescent="0.25">
      <c r="B12" s="14"/>
      <c r="C12" s="20" t="s">
        <v>29</v>
      </c>
      <c r="D12" s="57">
        <v>32</v>
      </c>
      <c r="E12" s="6"/>
      <c r="F12" s="38" t="s">
        <v>154</v>
      </c>
      <c r="I12" s="16"/>
    </row>
    <row r="13" spans="2:23" x14ac:dyDescent="0.25">
      <c r="B13" s="14"/>
      <c r="C13" s="20" t="s">
        <v>89</v>
      </c>
      <c r="D13" s="57">
        <v>1</v>
      </c>
      <c r="E13" s="6"/>
      <c r="F13" s="38" t="s">
        <v>92</v>
      </c>
      <c r="I13" s="16"/>
    </row>
    <row r="14" spans="2:23" x14ac:dyDescent="0.25">
      <c r="B14" s="14"/>
      <c r="C14" s="38" t="s">
        <v>155</v>
      </c>
      <c r="E14" s="6"/>
      <c r="F14" s="24" t="s">
        <v>34</v>
      </c>
      <c r="G14" s="24" t="s">
        <v>23</v>
      </c>
      <c r="I14" s="16"/>
    </row>
    <row r="15" spans="2:23" x14ac:dyDescent="0.25">
      <c r="B15" s="14"/>
      <c r="C15" s="23" t="s">
        <v>138</v>
      </c>
      <c r="D15" s="23" t="s">
        <v>23</v>
      </c>
      <c r="E15" s="6"/>
      <c r="F15" s="20" t="s">
        <v>142</v>
      </c>
      <c r="G15" s="57">
        <v>31</v>
      </c>
      <c r="I15" s="16"/>
    </row>
    <row r="16" spans="2:23" x14ac:dyDescent="0.25">
      <c r="B16" s="14"/>
      <c r="C16" s="20" t="s">
        <v>156</v>
      </c>
      <c r="D16" s="57">
        <v>0</v>
      </c>
      <c r="E16" s="6"/>
      <c r="F16" s="20" t="s">
        <v>143</v>
      </c>
      <c r="G16" s="57">
        <v>5</v>
      </c>
      <c r="H16" s="15"/>
      <c r="I16" s="16"/>
    </row>
    <row r="17" spans="2:9" x14ac:dyDescent="0.25">
      <c r="B17" s="14"/>
      <c r="C17" s="20" t="s">
        <v>157</v>
      </c>
      <c r="D17" s="57">
        <v>0</v>
      </c>
      <c r="E17" s="6"/>
      <c r="F17" s="20" t="s">
        <v>144</v>
      </c>
      <c r="G17" s="57">
        <v>25</v>
      </c>
      <c r="H17" s="15"/>
      <c r="I17" s="16"/>
    </row>
    <row r="18" spans="2:9" x14ac:dyDescent="0.25">
      <c r="B18" s="14"/>
      <c r="C18" s="38" t="s">
        <v>158</v>
      </c>
      <c r="E18" s="6"/>
      <c r="F18" s="20" t="s">
        <v>36</v>
      </c>
      <c r="G18" s="57">
        <v>1</v>
      </c>
      <c r="H18" s="15"/>
      <c r="I18" s="16"/>
    </row>
    <row r="19" spans="2:9" x14ac:dyDescent="0.25">
      <c r="B19" s="14"/>
      <c r="E19" s="6"/>
      <c r="H19" s="15"/>
      <c r="I19" s="16"/>
    </row>
    <row r="20" spans="2:9" ht="29.25" customHeight="1" x14ac:dyDescent="0.25">
      <c r="B20" s="14"/>
      <c r="C20" s="51" t="s">
        <v>33</v>
      </c>
      <c r="D20" s="51" t="s">
        <v>23</v>
      </c>
      <c r="E20" s="6"/>
      <c r="F20" s="39" t="s">
        <v>113</v>
      </c>
      <c r="G20" s="39" t="s">
        <v>31</v>
      </c>
      <c r="H20" s="40" t="s">
        <v>73</v>
      </c>
      <c r="I20" s="16"/>
    </row>
    <row r="21" spans="2:9" x14ac:dyDescent="0.25">
      <c r="B21" s="14"/>
      <c r="C21" s="68" t="s">
        <v>140</v>
      </c>
      <c r="D21" s="69">
        <v>90</v>
      </c>
      <c r="E21" s="6"/>
      <c r="F21" s="20" t="s">
        <v>69</v>
      </c>
      <c r="G21" s="57">
        <v>13</v>
      </c>
      <c r="H21" s="57">
        <v>1</v>
      </c>
      <c r="I21" s="16"/>
    </row>
    <row r="22" spans="2:9" ht="15" customHeight="1" x14ac:dyDescent="0.25">
      <c r="B22" s="14"/>
      <c r="C22" s="68" t="s">
        <v>90</v>
      </c>
      <c r="D22" s="69">
        <v>2</v>
      </c>
      <c r="E22" s="6"/>
      <c r="F22" s="20" t="s">
        <v>70</v>
      </c>
      <c r="G22" s="57">
        <v>16</v>
      </c>
      <c r="H22" s="57">
        <v>9</v>
      </c>
      <c r="I22" s="16"/>
    </row>
    <row r="23" spans="2:9" ht="24.75" x14ac:dyDescent="0.25">
      <c r="B23" s="14"/>
      <c r="C23" s="79" t="s">
        <v>141</v>
      </c>
      <c r="D23" s="79"/>
      <c r="E23" s="6"/>
      <c r="F23" s="20" t="s">
        <v>71</v>
      </c>
      <c r="G23" s="57">
        <v>1</v>
      </c>
      <c r="H23" s="57">
        <v>1</v>
      </c>
      <c r="I23" s="16"/>
    </row>
    <row r="24" spans="2:9" x14ac:dyDescent="0.25">
      <c r="B24" s="14"/>
      <c r="C24" s="15"/>
      <c r="E24" s="6"/>
      <c r="F24" s="20" t="s">
        <v>72</v>
      </c>
      <c r="G24" s="57">
        <v>0</v>
      </c>
      <c r="H24" s="57">
        <v>0</v>
      </c>
      <c r="I24" s="16"/>
    </row>
    <row r="25" spans="2:9" ht="30" customHeight="1" x14ac:dyDescent="0.25">
      <c r="B25" s="14"/>
      <c r="C25" s="83" t="str">
        <f>"Seleccione "&amp;W3&amp;" procesos teminados en el  primer semestre de 2021 y llene la siguiente tabla:"</f>
        <v>Seleccione 0 procesos teminados en el  primer semestre de 2021 y llene la siguiente tabla:</v>
      </c>
      <c r="D25" s="76"/>
      <c r="E25" s="6"/>
      <c r="F25" s="112" t="s">
        <v>145</v>
      </c>
      <c r="G25" s="112"/>
      <c r="H25" s="112"/>
      <c r="I25" s="16"/>
    </row>
    <row r="26" spans="2:9" ht="15.75" thickBot="1" x14ac:dyDescent="0.3">
      <c r="B26" s="14"/>
      <c r="C26" s="77"/>
      <c r="D26" s="78"/>
      <c r="E26" s="6"/>
      <c r="F26" s="70"/>
      <c r="G26" s="15"/>
      <c r="H26" s="15"/>
      <c r="I26" s="16"/>
    </row>
    <row r="27" spans="2:9" ht="15.75" thickBot="1" x14ac:dyDescent="0.3">
      <c r="B27" s="14"/>
      <c r="C27" s="51" t="s">
        <v>101</v>
      </c>
      <c r="D27" s="51" t="s">
        <v>23</v>
      </c>
      <c r="E27" s="6"/>
      <c r="F27" s="108" t="s">
        <v>100</v>
      </c>
      <c r="G27" s="109"/>
      <c r="H27" s="110"/>
      <c r="I27" s="16"/>
    </row>
    <row r="28" spans="2:9" x14ac:dyDescent="0.25">
      <c r="B28" s="14"/>
      <c r="C28" s="20" t="s">
        <v>93</v>
      </c>
      <c r="D28" s="57">
        <v>0</v>
      </c>
      <c r="E28" s="6"/>
      <c r="F28" s="99" t="s">
        <v>167</v>
      </c>
      <c r="G28" s="100"/>
      <c r="H28" s="101"/>
      <c r="I28" s="16"/>
    </row>
    <row r="29" spans="2:9" x14ac:dyDescent="0.25">
      <c r="B29" s="14"/>
      <c r="C29" s="20" t="s">
        <v>94</v>
      </c>
      <c r="D29" s="57">
        <v>0</v>
      </c>
      <c r="E29" s="6"/>
      <c r="F29" s="102"/>
      <c r="G29" s="103"/>
      <c r="H29" s="104"/>
      <c r="I29" s="16"/>
    </row>
    <row r="30" spans="2:9" x14ac:dyDescent="0.25">
      <c r="B30" s="14"/>
      <c r="C30" s="20" t="s">
        <v>95</v>
      </c>
      <c r="D30" s="57">
        <v>0</v>
      </c>
      <c r="E30" s="6"/>
      <c r="F30" s="102"/>
      <c r="G30" s="103"/>
      <c r="H30" s="104"/>
      <c r="I30" s="16"/>
    </row>
    <row r="31" spans="2:9" x14ac:dyDescent="0.25">
      <c r="B31" s="14"/>
      <c r="C31" s="20" t="s">
        <v>96</v>
      </c>
      <c r="D31" s="57">
        <v>0</v>
      </c>
      <c r="E31" s="6"/>
      <c r="F31" s="102"/>
      <c r="G31" s="103"/>
      <c r="H31" s="104"/>
      <c r="I31" s="16"/>
    </row>
    <row r="32" spans="2:9" x14ac:dyDescent="0.25">
      <c r="B32" s="14"/>
      <c r="C32" s="20" t="s">
        <v>97</v>
      </c>
      <c r="D32" s="57">
        <v>0</v>
      </c>
      <c r="E32" s="6"/>
      <c r="F32" s="102"/>
      <c r="G32" s="103"/>
      <c r="H32" s="104"/>
      <c r="I32" s="16"/>
    </row>
    <row r="33" spans="2:9" ht="15.75" thickBot="1" x14ac:dyDescent="0.3">
      <c r="B33" s="14"/>
      <c r="C33" s="15"/>
      <c r="E33" s="6"/>
      <c r="F33" s="105"/>
      <c r="G33" s="106"/>
      <c r="H33" s="107"/>
      <c r="I33" s="16"/>
    </row>
    <row r="34" spans="2:9" ht="15.75" thickBot="1" x14ac:dyDescent="0.3">
      <c r="B34" s="17"/>
      <c r="C34" s="18"/>
      <c r="D34" s="18"/>
      <c r="E34" s="18"/>
      <c r="F34" s="18"/>
      <c r="G34" s="18"/>
      <c r="H34" s="18"/>
      <c r="I34" s="19"/>
    </row>
  </sheetData>
  <sheetProtection algorithmName="SHA-512" hashValue="1LQzvxd3FK+E90SQLLzX5Rai2EmYBOBma43kWnmDwskYenMl6bYZx6NaN4CKcWv/yZGRSCPbvwyj2t2pdqNHcA==" saltValue="YE6ZbfAsPhu0GVoeu6CeMg==" spinCount="100000" sheet="1" objects="1" scenarios="1"/>
  <mergeCells count="4">
    <mergeCell ref="F27:H27"/>
    <mergeCell ref="F28:H33"/>
    <mergeCell ref="C6:H6"/>
    <mergeCell ref="F25:H25"/>
  </mergeCells>
  <dataValidations count="1">
    <dataValidation type="date" allowBlank="1" showInputMessage="1" showErrorMessage="1" sqref="D8" xr:uid="{643015F8-9CCD-4076-9060-ADC116C40B4F}">
      <formula1>44378</formula1>
      <formula2>44439</formula2>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3"/>
  <sheetViews>
    <sheetView showGridLines="0" topLeftCell="A4" workbookViewId="0">
      <selection activeCell="D22" sqref="D22"/>
    </sheetView>
  </sheetViews>
  <sheetFormatPr baseColWidth="10" defaultRowHeight="15" x14ac:dyDescent="0.25"/>
  <cols>
    <col min="1" max="1" width="3.85546875" style="1" customWidth="1"/>
    <col min="2" max="2" width="11.42578125" style="1"/>
    <col min="3" max="3" width="50.85546875" style="1" bestFit="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c r="V2" s="1">
        <f>+D13+D14</f>
        <v>6</v>
      </c>
    </row>
    <row r="3" spans="2:22" x14ac:dyDescent="0.25">
      <c r="B3" s="14"/>
      <c r="C3" s="15"/>
      <c r="D3" s="15"/>
      <c r="E3" s="15"/>
      <c r="F3" s="15"/>
      <c r="G3" s="15"/>
      <c r="H3" s="16"/>
      <c r="V3" s="28">
        <f>+IF(V2&lt;=20,V2,IF(ROUNDDOWN(V2*10%,0)&lt;20,20,ROUNDDOWN(V2*10%,0)))</f>
        <v>6</v>
      </c>
    </row>
    <row r="4" spans="2:22" x14ac:dyDescent="0.25">
      <c r="B4" s="14"/>
      <c r="C4" s="15"/>
      <c r="D4" s="15"/>
      <c r="E4" s="15"/>
      <c r="F4" s="15"/>
      <c r="G4" s="15"/>
      <c r="H4" s="16"/>
    </row>
    <row r="5" spans="2:22" x14ac:dyDescent="0.25">
      <c r="B5" s="14"/>
      <c r="C5" s="15"/>
      <c r="D5" s="15"/>
      <c r="E5" s="15"/>
      <c r="F5" s="15"/>
      <c r="G5" s="15"/>
      <c r="H5" s="16"/>
    </row>
    <row r="6" spans="2:22" ht="15" customHeight="1" x14ac:dyDescent="0.25">
      <c r="B6" s="14"/>
      <c r="C6" s="27"/>
      <c r="D6" s="27"/>
      <c r="E6" s="27"/>
      <c r="G6" s="32"/>
      <c r="H6" s="33"/>
    </row>
    <row r="7" spans="2:22" ht="23.25" x14ac:dyDescent="0.25">
      <c r="B7" s="14"/>
      <c r="C7" s="111" t="s">
        <v>56</v>
      </c>
      <c r="D7" s="111"/>
      <c r="E7" s="111"/>
      <c r="F7" s="111"/>
      <c r="G7" s="111"/>
      <c r="H7" s="33"/>
    </row>
    <row r="8" spans="2:22" x14ac:dyDescent="0.25">
      <c r="B8" s="14"/>
      <c r="C8" s="15"/>
      <c r="D8" s="15"/>
      <c r="E8" s="15"/>
      <c r="H8" s="16"/>
      <c r="T8" s="1" t="s">
        <v>13</v>
      </c>
    </row>
    <row r="9" spans="2:22" ht="15" customHeight="1" x14ac:dyDescent="0.25">
      <c r="B9" s="14"/>
      <c r="C9" s="23" t="s">
        <v>146</v>
      </c>
      <c r="D9" s="23" t="s">
        <v>23</v>
      </c>
      <c r="E9" s="6"/>
      <c r="F9" s="95" t="str">
        <f>"Seleccione una muestra de "&amp;V3&amp;" prejudiciales activos registrados antes de 31 de diciembre de 2020 y complete la siguiente tabla"</f>
        <v>Seleccione una muestra de 6 prejudiciales activos registrados antes de 31 de diciembre de 2020 y complete la siguiente tabla</v>
      </c>
      <c r="G9" s="96"/>
      <c r="H9" s="16"/>
      <c r="T9" s="1" t="s">
        <v>14</v>
      </c>
    </row>
    <row r="10" spans="2:22" x14ac:dyDescent="0.25">
      <c r="B10" s="14"/>
      <c r="C10" s="20" t="s">
        <v>55</v>
      </c>
      <c r="D10" s="57">
        <v>1</v>
      </c>
      <c r="E10" s="6"/>
      <c r="F10" s="97"/>
      <c r="G10" s="98"/>
      <c r="H10" s="16"/>
    </row>
    <row r="11" spans="2:22" x14ac:dyDescent="0.25">
      <c r="B11" s="14"/>
      <c r="C11" s="20" t="s">
        <v>57</v>
      </c>
      <c r="D11" s="57">
        <v>6</v>
      </c>
      <c r="E11" s="6"/>
      <c r="F11" s="24" t="s">
        <v>33</v>
      </c>
      <c r="G11" s="24" t="s">
        <v>59</v>
      </c>
      <c r="H11" s="16"/>
    </row>
    <row r="12" spans="2:22" x14ac:dyDescent="0.25">
      <c r="B12" s="14"/>
      <c r="C12" s="20" t="s">
        <v>147</v>
      </c>
      <c r="D12" s="57">
        <v>0</v>
      </c>
      <c r="E12" s="6"/>
      <c r="F12" s="36" t="s">
        <v>60</v>
      </c>
      <c r="G12" s="62">
        <v>0</v>
      </c>
      <c r="H12" s="16"/>
    </row>
    <row r="13" spans="2:22" x14ac:dyDescent="0.25">
      <c r="B13" s="14"/>
      <c r="C13" s="20" t="s">
        <v>148</v>
      </c>
      <c r="D13" s="57">
        <v>2</v>
      </c>
      <c r="E13" s="6"/>
      <c r="F13" s="20" t="s">
        <v>61</v>
      </c>
      <c r="G13" s="57">
        <v>6</v>
      </c>
      <c r="H13" s="16"/>
    </row>
    <row r="14" spans="2:22" x14ac:dyDescent="0.25">
      <c r="B14" s="14"/>
      <c r="C14" s="20" t="s">
        <v>86</v>
      </c>
      <c r="D14" s="57">
        <v>4</v>
      </c>
      <c r="E14" s="6"/>
      <c r="F14"/>
      <c r="G14"/>
      <c r="H14" s="16"/>
    </row>
    <row r="15" spans="2:22" x14ac:dyDescent="0.25">
      <c r="B15" s="14"/>
      <c r="E15" s="6"/>
      <c r="F15"/>
      <c r="G15"/>
      <c r="H15" s="16"/>
    </row>
    <row r="16" spans="2:22" ht="15.75" thickBot="1" x14ac:dyDescent="0.3">
      <c r="B16" s="14"/>
      <c r="C16" s="23" t="s">
        <v>121</v>
      </c>
      <c r="D16" s="23" t="s">
        <v>23</v>
      </c>
      <c r="E16" s="6"/>
      <c r="F16" s="113" t="s">
        <v>100</v>
      </c>
      <c r="G16" s="113"/>
      <c r="H16" s="16"/>
    </row>
    <row r="17" spans="2:8" x14ac:dyDescent="0.25">
      <c r="B17" s="14"/>
      <c r="C17" s="20" t="s">
        <v>150</v>
      </c>
      <c r="D17" s="57">
        <v>3</v>
      </c>
      <c r="E17" s="6"/>
      <c r="F17" s="114" t="s">
        <v>164</v>
      </c>
      <c r="G17" s="115"/>
      <c r="H17" s="16"/>
    </row>
    <row r="18" spans="2:8" x14ac:dyDescent="0.25">
      <c r="B18" s="14"/>
      <c r="C18" s="20" t="s">
        <v>149</v>
      </c>
      <c r="D18" s="57">
        <v>3</v>
      </c>
      <c r="E18" s="6"/>
      <c r="F18" s="116"/>
      <c r="G18" s="117"/>
      <c r="H18" s="16"/>
    </row>
    <row r="19" spans="2:8" x14ac:dyDescent="0.25">
      <c r="B19" s="14"/>
      <c r="C19"/>
      <c r="D19"/>
      <c r="E19" s="6"/>
      <c r="F19" s="116"/>
      <c r="G19" s="117"/>
      <c r="H19" s="16"/>
    </row>
    <row r="20" spans="2:8" x14ac:dyDescent="0.25">
      <c r="B20" s="14"/>
      <c r="C20"/>
      <c r="D20"/>
      <c r="E20" s="6"/>
      <c r="F20" s="116"/>
      <c r="G20" s="117"/>
      <c r="H20" s="16"/>
    </row>
    <row r="21" spans="2:8" x14ac:dyDescent="0.25">
      <c r="B21" s="14"/>
      <c r="E21" s="6"/>
      <c r="F21" s="116"/>
      <c r="G21" s="117"/>
      <c r="H21" s="16"/>
    </row>
    <row r="22" spans="2:8" ht="15.75" thickBot="1" x14ac:dyDescent="0.3">
      <c r="B22" s="14"/>
      <c r="C22" s="15"/>
      <c r="D22" s="15"/>
      <c r="E22" s="6"/>
      <c r="F22" s="118"/>
      <c r="G22" s="119"/>
      <c r="H22" s="16"/>
    </row>
    <row r="23" spans="2:8" ht="15.75" thickBot="1" x14ac:dyDescent="0.3">
      <c r="B23" s="17"/>
      <c r="C23" s="18"/>
      <c r="D23" s="18"/>
      <c r="E23" s="18"/>
      <c r="F23" s="18"/>
      <c r="G23" s="18"/>
      <c r="H23" s="19"/>
    </row>
  </sheetData>
  <sheetProtection algorithmName="SHA-512" hashValue="IFQHgU0wQOs72yfcmcv3fgZbZmNeop7iQNQHEllk7oS+l83wTQuhCYUxhfsLpXfdE5ytlnOwS5TLqs+ZhcJsYg==" saltValue="Vvbanjuf+LAv3tT+FQci/g==" spinCount="100000" sheet="1"/>
  <mergeCells count="4">
    <mergeCell ref="F9:G10"/>
    <mergeCell ref="C7:G7"/>
    <mergeCell ref="F16:G16"/>
    <mergeCell ref="F17:G2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7"/>
  <sheetViews>
    <sheetView showGridLines="0" topLeftCell="A4" workbookViewId="0">
      <selection activeCell="C13" sqref="C13:G16"/>
    </sheetView>
  </sheetViews>
  <sheetFormatPr baseColWidth="10" defaultRowHeight="15" x14ac:dyDescent="0.25"/>
  <cols>
    <col min="1" max="1" width="3.85546875" style="1" customWidth="1"/>
    <col min="2" max="2" width="11.42578125" style="1"/>
    <col min="3" max="3" width="38.7109375" style="1" bestFit="1" customWidth="1"/>
    <col min="4" max="4" width="20.85546875" style="1" customWidth="1"/>
    <col min="5" max="5" width="6.28515625" style="1" customWidth="1"/>
    <col min="6" max="6" width="48.28515625" style="1" bestFit="1" customWidth="1"/>
    <col min="7" max="7" width="21.710937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f>+IF(D10&lt;=10,D10,IF(ROUNDDOWN(D10*10%,0)&gt;10,10,ROUNDDOWN(D10*10%,0)))</f>
        <v>0</v>
      </c>
    </row>
    <row r="4" spans="2:22" x14ac:dyDescent="0.25">
      <c r="B4" s="14"/>
      <c r="C4" s="15"/>
      <c r="D4" s="15"/>
      <c r="E4" s="15"/>
      <c r="F4" s="15"/>
      <c r="G4" s="15"/>
      <c r="H4" s="16"/>
    </row>
    <row r="5" spans="2:22" x14ac:dyDescent="0.25">
      <c r="B5" s="14"/>
      <c r="C5" s="15"/>
      <c r="D5" s="15"/>
      <c r="E5" s="15"/>
      <c r="F5" s="15"/>
      <c r="G5" s="15"/>
      <c r="H5" s="16"/>
    </row>
    <row r="6" spans="2:22" ht="36.75" customHeight="1" x14ac:dyDescent="0.35">
      <c r="B6" s="14"/>
      <c r="C6" s="34" t="s">
        <v>76</v>
      </c>
      <c r="D6" s="35"/>
      <c r="E6" s="26"/>
      <c r="F6"/>
      <c r="G6"/>
      <c r="H6" s="33"/>
    </row>
    <row r="7" spans="2:22" x14ac:dyDescent="0.25">
      <c r="B7" s="14"/>
      <c r="C7" s="15"/>
      <c r="D7" s="15"/>
      <c r="E7" s="15"/>
      <c r="F7"/>
      <c r="G7"/>
      <c r="H7" s="16"/>
      <c r="T7" s="1" t="s">
        <v>13</v>
      </c>
    </row>
    <row r="8" spans="2:22" x14ac:dyDescent="0.25">
      <c r="B8" s="14"/>
      <c r="C8" s="23" t="s">
        <v>76</v>
      </c>
      <c r="D8" s="23" t="s">
        <v>23</v>
      </c>
      <c r="E8" s="6"/>
      <c r="F8" s="23" t="s">
        <v>76</v>
      </c>
      <c r="G8" s="23" t="s">
        <v>23</v>
      </c>
      <c r="H8" s="16"/>
      <c r="T8" s="1" t="s">
        <v>14</v>
      </c>
    </row>
    <row r="9" spans="2:22" x14ac:dyDescent="0.25">
      <c r="B9" s="14"/>
      <c r="C9" s="20" t="s">
        <v>151</v>
      </c>
      <c r="D9" s="57">
        <v>0</v>
      </c>
      <c r="E9" s="6"/>
      <c r="F9" s="20" t="s">
        <v>152</v>
      </c>
      <c r="G9" s="63">
        <v>0</v>
      </c>
      <c r="H9" s="16"/>
    </row>
    <row r="10" spans="2:22" x14ac:dyDescent="0.25">
      <c r="B10" s="14"/>
      <c r="C10" s="20" t="s">
        <v>78</v>
      </c>
      <c r="D10" s="57">
        <v>0</v>
      </c>
      <c r="E10" s="6"/>
      <c r="F10" s="20" t="s">
        <v>98</v>
      </c>
      <c r="G10" s="63">
        <v>0</v>
      </c>
      <c r="H10" s="16"/>
    </row>
    <row r="11" spans="2:22" x14ac:dyDescent="0.25">
      <c r="B11" s="14"/>
      <c r="C11" s="15"/>
      <c r="D11" s="61"/>
      <c r="E11" s="6"/>
      <c r="F11" s="15"/>
      <c r="G11" s="64"/>
      <c r="H11" s="16"/>
    </row>
    <row r="12" spans="2:22" ht="15.75" thickBot="1" x14ac:dyDescent="0.3">
      <c r="B12" s="14"/>
      <c r="C12" s="65" t="s">
        <v>102</v>
      </c>
      <c r="D12" s="61"/>
      <c r="E12" s="6"/>
      <c r="F12" s="15"/>
      <c r="G12" s="64"/>
      <c r="H12" s="16"/>
      <c r="T12" s="1">
        <f>IF(D9="",0,1)</f>
        <v>1</v>
      </c>
    </row>
    <row r="13" spans="2:22" x14ac:dyDescent="0.25">
      <c r="B13" s="14"/>
      <c r="C13" s="120"/>
      <c r="D13" s="121"/>
      <c r="E13" s="121"/>
      <c r="F13" s="121"/>
      <c r="G13" s="122"/>
      <c r="H13" s="16"/>
    </row>
    <row r="14" spans="2:22" x14ac:dyDescent="0.25">
      <c r="B14" s="14"/>
      <c r="C14" s="123"/>
      <c r="D14" s="124"/>
      <c r="E14" s="124"/>
      <c r="F14" s="124"/>
      <c r="G14" s="125"/>
      <c r="H14" s="16"/>
    </row>
    <row r="15" spans="2:22" x14ac:dyDescent="0.25">
      <c r="B15" s="14"/>
      <c r="C15" s="123"/>
      <c r="D15" s="124"/>
      <c r="E15" s="124"/>
      <c r="F15" s="124"/>
      <c r="G15" s="125"/>
      <c r="H15" s="16"/>
    </row>
    <row r="16" spans="2:22" ht="15.75" thickBot="1" x14ac:dyDescent="0.3">
      <c r="B16" s="14"/>
      <c r="C16" s="126"/>
      <c r="D16" s="127"/>
      <c r="E16" s="127"/>
      <c r="F16" s="127"/>
      <c r="G16" s="128"/>
      <c r="H16" s="16"/>
      <c r="T16" s="1">
        <f>IF(G9="",0,1)</f>
        <v>1</v>
      </c>
    </row>
    <row r="17" spans="2:20" ht="15.75" thickBot="1" x14ac:dyDescent="0.3">
      <c r="B17" s="17"/>
      <c r="C17" s="18"/>
      <c r="D17" s="18"/>
      <c r="E17" s="18"/>
      <c r="F17" s="18"/>
      <c r="G17" s="18"/>
      <c r="H17" s="19"/>
      <c r="T17" s="1">
        <f>+T12+T16</f>
        <v>2</v>
      </c>
    </row>
  </sheetData>
  <sheetProtection algorithmName="SHA-512" hashValue="8EtTw72DUTsc3xgyVubbRS4sSgH4yVUF1aVBcEbpjtkeW49RZz0xWb+uqV4ctvmgBUedgMxWym8mQZmsu5skNw==" saltValue="s7gKwqCu7U7WrIwxI3BXOQ==" spinCount="100000" sheet="1"/>
  <mergeCells count="1">
    <mergeCell ref="C13:G1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1"/>
  <sheetViews>
    <sheetView showGridLines="0" workbookViewId="0">
      <selection activeCell="F15" sqref="F15"/>
    </sheetView>
  </sheetViews>
  <sheetFormatPr baseColWidth="10" defaultRowHeight="15" x14ac:dyDescent="0.25"/>
  <cols>
    <col min="1" max="1" width="3.85546875" style="1" customWidth="1"/>
    <col min="2" max="2" width="11.42578125" style="1"/>
    <col min="3" max="3" width="38.7109375" style="1" bestFit="1" customWidth="1"/>
    <col min="4" max="4" width="20.85546875" style="1" customWidth="1"/>
    <col min="5" max="5" width="6.28515625" style="1" customWidth="1"/>
    <col min="6" max="6" width="36.42578125" style="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f>+IF(D10&lt;=10,D10,IF(ROUNDDOWN(D10*10%,0)&gt;10,10,ROUNDDOWN(D10*10%,0)))</f>
        <v>0</v>
      </c>
    </row>
    <row r="4" spans="2:22" x14ac:dyDescent="0.25">
      <c r="B4" s="14"/>
      <c r="C4" s="15"/>
      <c r="D4" s="15"/>
      <c r="E4" s="15"/>
      <c r="F4" s="15"/>
      <c r="G4" s="15"/>
      <c r="H4" s="16"/>
    </row>
    <row r="5" spans="2:22" x14ac:dyDescent="0.25">
      <c r="B5" s="14"/>
      <c r="C5" s="15"/>
      <c r="D5" s="15"/>
      <c r="E5" s="15"/>
      <c r="F5" s="15"/>
      <c r="G5" s="15"/>
      <c r="H5" s="16"/>
    </row>
    <row r="6" spans="2:22" ht="21.75" customHeight="1" x14ac:dyDescent="0.35">
      <c r="B6" s="14"/>
      <c r="C6" s="111" t="s">
        <v>8</v>
      </c>
      <c r="D6" s="111"/>
      <c r="E6" s="26"/>
      <c r="F6"/>
      <c r="G6"/>
      <c r="H6" s="33"/>
      <c r="T6" s="1" t="s">
        <v>12</v>
      </c>
    </row>
    <row r="7" spans="2:22" ht="15.75" thickBot="1" x14ac:dyDescent="0.3">
      <c r="B7" s="14"/>
      <c r="C7" s="15"/>
      <c r="D7" s="15"/>
      <c r="E7" s="15"/>
      <c r="F7" s="66" t="s">
        <v>102</v>
      </c>
      <c r="G7"/>
      <c r="H7" s="16"/>
      <c r="T7" s="1" t="s">
        <v>13</v>
      </c>
    </row>
    <row r="8" spans="2:22" x14ac:dyDescent="0.25">
      <c r="B8" s="14"/>
      <c r="C8" s="23" t="s">
        <v>32</v>
      </c>
      <c r="D8" s="23" t="s">
        <v>23</v>
      </c>
      <c r="E8" s="6"/>
      <c r="F8" s="99" t="s">
        <v>165</v>
      </c>
      <c r="G8" s="101"/>
      <c r="H8" s="16"/>
      <c r="T8" s="1" t="s">
        <v>14</v>
      </c>
    </row>
    <row r="9" spans="2:22" x14ac:dyDescent="0.25">
      <c r="B9" s="14"/>
      <c r="C9" s="20" t="s">
        <v>80</v>
      </c>
      <c r="D9" s="57" t="s">
        <v>13</v>
      </c>
      <c r="E9" s="6"/>
      <c r="F9" s="102"/>
      <c r="G9" s="104"/>
      <c r="H9" s="16"/>
    </row>
    <row r="10" spans="2:22" ht="15.75" thickBot="1" x14ac:dyDescent="0.3">
      <c r="B10" s="14"/>
      <c r="C10" s="20" t="s">
        <v>153</v>
      </c>
      <c r="D10" s="57">
        <v>0</v>
      </c>
      <c r="E10" s="6"/>
      <c r="F10" s="105"/>
      <c r="G10" s="107"/>
      <c r="H10" s="16"/>
    </row>
    <row r="11" spans="2:22" ht="15.75" thickBot="1" x14ac:dyDescent="0.3">
      <c r="B11" s="17"/>
      <c r="C11" s="18"/>
      <c r="D11" s="18"/>
      <c r="E11" s="18"/>
      <c r="F11" s="18"/>
      <c r="G11" s="18"/>
      <c r="H11" s="19"/>
    </row>
  </sheetData>
  <sheetProtection algorithmName="SHA-512" hashValue="/ZzSyQAjLAMpx22hv4BMxC56M11jIp+M9GYaD5hWkIVBMYg5KFV9fKVJiMX1aM4pGt6+X5JrrCcQTnqjWfkUxQ==" saltValue="DuBnF281jxedCqpWgH2+Kg==" spinCount="100000" sheet="1"/>
  <mergeCells count="2">
    <mergeCell ref="C6:D6"/>
    <mergeCell ref="F8:G10"/>
  </mergeCells>
  <dataValidations count="1">
    <dataValidation type="list" allowBlank="1" showInputMessage="1" showErrorMessage="1" sqref="D9" xr:uid="{00000000-0002-0000-0600-000000000000}">
      <formula1>$T$6:$T$7</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M26"/>
  <sheetViews>
    <sheetView showGridLines="0" topLeftCell="A7" workbookViewId="0">
      <selection activeCell="J14" sqref="J14:J15"/>
    </sheetView>
  </sheetViews>
  <sheetFormatPr baseColWidth="10" defaultRowHeight="15" x14ac:dyDescent="0.25"/>
  <cols>
    <col min="2" max="2" width="33" bestFit="1" customWidth="1"/>
    <col min="3" max="3" width="14.5703125" bestFit="1" customWidth="1"/>
    <col min="5" max="5" width="33" bestFit="1" customWidth="1"/>
    <col min="6" max="6" width="14.5703125" bestFit="1" customWidth="1"/>
  </cols>
  <sheetData>
    <row r="2" spans="2:13" ht="18.75" x14ac:dyDescent="0.3">
      <c r="B2" s="130" t="s">
        <v>10</v>
      </c>
      <c r="C2" s="130"/>
      <c r="D2" s="130"/>
      <c r="E2" s="130"/>
      <c r="F2" s="130"/>
      <c r="G2" s="130"/>
      <c r="H2" s="47"/>
      <c r="I2" s="47"/>
      <c r="J2" s="47"/>
      <c r="K2" s="47"/>
      <c r="L2" s="47"/>
      <c r="M2" s="48"/>
    </row>
    <row r="3" spans="2:13" ht="18.75" x14ac:dyDescent="0.3">
      <c r="B3" s="130" t="s">
        <v>11</v>
      </c>
      <c r="C3" s="130"/>
      <c r="D3" s="130"/>
      <c r="E3" s="130"/>
      <c r="F3" s="130"/>
      <c r="G3" s="130"/>
      <c r="H3" s="47"/>
      <c r="I3" s="47"/>
      <c r="J3" s="47"/>
      <c r="K3" s="47"/>
      <c r="L3" s="47"/>
      <c r="M3" s="48"/>
    </row>
    <row r="4" spans="2:13" ht="23.25" x14ac:dyDescent="0.35">
      <c r="B4" s="41"/>
      <c r="C4" s="41"/>
      <c r="D4" s="41"/>
      <c r="E4" s="41"/>
      <c r="F4" s="41"/>
      <c r="G4" s="41"/>
      <c r="H4" s="41"/>
      <c r="I4" s="41"/>
      <c r="J4" s="41"/>
      <c r="K4" s="41"/>
      <c r="L4" s="41"/>
      <c r="M4" s="41"/>
    </row>
    <row r="5" spans="2:13" x14ac:dyDescent="0.25">
      <c r="B5" t="s">
        <v>38</v>
      </c>
      <c r="C5" s="129" t="s">
        <v>166</v>
      </c>
      <c r="D5" s="129"/>
      <c r="E5" s="129"/>
      <c r="F5" s="129"/>
      <c r="G5" s="129"/>
      <c r="H5" s="6"/>
      <c r="I5" s="6"/>
      <c r="J5" s="6"/>
    </row>
    <row r="6" spans="2:13" x14ac:dyDescent="0.25">
      <c r="B6" t="s">
        <v>3</v>
      </c>
      <c r="C6" s="129" t="s">
        <v>159</v>
      </c>
      <c r="D6" s="129"/>
      <c r="E6" s="129"/>
      <c r="F6" s="129"/>
      <c r="G6" s="129"/>
      <c r="H6" s="46"/>
      <c r="I6" s="46"/>
      <c r="J6" s="46"/>
    </row>
    <row r="7" spans="2:13" x14ac:dyDescent="0.25">
      <c r="H7" s="6"/>
      <c r="I7" s="6"/>
      <c r="J7" s="6"/>
    </row>
    <row r="8" spans="2:13" x14ac:dyDescent="0.25">
      <c r="B8" t="s">
        <v>39</v>
      </c>
      <c r="C8" s="44" t="str">
        <f>+IF(SUM(USUARIOS!I12:J17)=0,"Falta diligenciar","")</f>
        <v/>
      </c>
      <c r="E8" t="s">
        <v>84</v>
      </c>
      <c r="F8" s="44" t="str">
        <f>+IF(PREJUDICIALES!$D$10="","Falta  actualizar","")</f>
        <v/>
      </c>
    </row>
    <row r="9" spans="2:13" x14ac:dyDescent="0.25">
      <c r="B9" s="43" t="s">
        <v>42</v>
      </c>
      <c r="C9" s="45">
        <f>+SUM(USUARIOS!I12:I17)/(6-SUM(USUARIOS!H12:H17))</f>
        <v>0.5</v>
      </c>
      <c r="E9" s="43" t="s">
        <v>47</v>
      </c>
      <c r="F9" s="43">
        <f>+PREJUDICIALES!$D$11</f>
        <v>6</v>
      </c>
    </row>
    <row r="10" spans="2:13" x14ac:dyDescent="0.25">
      <c r="B10" s="43" t="s">
        <v>40</v>
      </c>
      <c r="C10" s="43">
        <f>+ABOGADOS!$D$12+SUM(USUARIOS!I12:I17)</f>
        <v>5</v>
      </c>
      <c r="E10" s="43" t="s">
        <v>45</v>
      </c>
      <c r="F10" s="45">
        <f>IFERROR(PREJUDICIALES!$D$11/PREJUDICIALES!$D$10,"")</f>
        <v>6</v>
      </c>
    </row>
    <row r="11" spans="2:13" x14ac:dyDescent="0.25">
      <c r="B11" s="43" t="s">
        <v>9</v>
      </c>
      <c r="C11" s="71" t="s">
        <v>116</v>
      </c>
      <c r="E11" s="43" t="s">
        <v>48</v>
      </c>
      <c r="F11" s="45">
        <f>IFERROR(PREJUDICIALES!$G$13/PREJUDICIALES!$V$3,"")</f>
        <v>1</v>
      </c>
    </row>
    <row r="12" spans="2:13" x14ac:dyDescent="0.25">
      <c r="B12" s="43" t="s">
        <v>41</v>
      </c>
      <c r="C12" s="45">
        <f>IFERROR((ABOGADOS!$G$17+ABOGADOS!$G$18+ABOGADOS!$G$19*0.5)/ABOGADOS!D12,"")</f>
        <v>0</v>
      </c>
    </row>
    <row r="13" spans="2:13" x14ac:dyDescent="0.25">
      <c r="E13" t="s">
        <v>76</v>
      </c>
      <c r="F13" s="44" t="str">
        <f>+IF(ARBITRAMENTOS!T17=0,"Falta  actualizar","")</f>
        <v/>
      </c>
    </row>
    <row r="14" spans="2:13" x14ac:dyDescent="0.25">
      <c r="B14" t="s">
        <v>83</v>
      </c>
      <c r="C14" s="44" t="str">
        <f>+IF(JUDICIALES!$D$11="","Falta  actualizar","")</f>
        <v/>
      </c>
      <c r="E14" s="43" t="s">
        <v>46</v>
      </c>
      <c r="F14" s="43">
        <f>+ARBITRAMENTOS!D10</f>
        <v>0</v>
      </c>
    </row>
    <row r="15" spans="2:13" x14ac:dyDescent="0.25">
      <c r="B15" s="43" t="s">
        <v>43</v>
      </c>
      <c r="C15" s="43">
        <f>+JUDICIALES!$D$12</f>
        <v>32</v>
      </c>
      <c r="E15" s="43" t="s">
        <v>45</v>
      </c>
      <c r="F15" s="45" t="str">
        <f>IFERROR(ARBITRAMENTOS!D10/ARBITRAMENTOS!D9,"")</f>
        <v/>
      </c>
    </row>
    <row r="16" spans="2:13" x14ac:dyDescent="0.25">
      <c r="B16" s="43" t="s">
        <v>45</v>
      </c>
      <c r="C16" s="45">
        <f>IFERROR(JUDICIALES!$D$12/JUDICIALES!$D$11,"")</f>
        <v>1</v>
      </c>
    </row>
    <row r="17" spans="2:6" x14ac:dyDescent="0.25">
      <c r="B17" s="43" t="s">
        <v>51</v>
      </c>
      <c r="C17" s="45" t="str">
        <f>IFERROR(JUDICIALES!$G$11/JUDICIALES!$G$10,"")</f>
        <v/>
      </c>
      <c r="E17" t="s">
        <v>79</v>
      </c>
      <c r="F17" s="44" t="str">
        <f>+IF(PAGOS!D9="","Falta  actualizar","")</f>
        <v/>
      </c>
    </row>
    <row r="18" spans="2:6" x14ac:dyDescent="0.25">
      <c r="B18" s="43" t="s">
        <v>44</v>
      </c>
      <c r="C18" s="43">
        <f>IFERROR(C15/ABOGADOS!$D$12,"")</f>
        <v>16</v>
      </c>
      <c r="E18" s="43" t="s">
        <v>49</v>
      </c>
      <c r="F18" s="43">
        <f>+PAGOS!D10</f>
        <v>0</v>
      </c>
    </row>
    <row r="19" spans="2:6" x14ac:dyDescent="0.25">
      <c r="B19" s="43" t="s">
        <v>82</v>
      </c>
      <c r="C19" s="45">
        <f>IFERROR(1-(JUDICIALES!$H$22+JUDICIALES!$H$23+JUDICIALES!$H$24)/(JUDICIALES!$G$22+JUDICIALES!$G$23+JUDICIALES!$G$24),"")</f>
        <v>0.41176470588235292</v>
      </c>
      <c r="E19" s="43" t="s">
        <v>50</v>
      </c>
      <c r="F19" s="43" t="str">
        <f>+IF(PAGOS!D9="No","No aplica","si")</f>
        <v>No aplica</v>
      </c>
    </row>
    <row r="21" spans="2:6" ht="15.75" thickBot="1" x14ac:dyDescent="0.3"/>
    <row r="22" spans="2:6" x14ac:dyDescent="0.25">
      <c r="B22" s="2" t="s">
        <v>102</v>
      </c>
      <c r="C22" s="3"/>
      <c r="D22" s="3"/>
      <c r="E22" s="3"/>
      <c r="F22" s="4"/>
    </row>
    <row r="23" spans="2:6" x14ac:dyDescent="0.25">
      <c r="B23" s="116" t="s">
        <v>168</v>
      </c>
      <c r="C23" s="131"/>
      <c r="D23" s="131"/>
      <c r="E23" s="131"/>
      <c r="F23" s="117"/>
    </row>
    <row r="24" spans="2:6" x14ac:dyDescent="0.25">
      <c r="B24" s="116"/>
      <c r="C24" s="131"/>
      <c r="D24" s="131"/>
      <c r="E24" s="131"/>
      <c r="F24" s="117"/>
    </row>
    <row r="25" spans="2:6" x14ac:dyDescent="0.25">
      <c r="B25" s="116"/>
      <c r="C25" s="131"/>
      <c r="D25" s="131"/>
      <c r="E25" s="131"/>
      <c r="F25" s="117"/>
    </row>
    <row r="26" spans="2:6" ht="15.75" thickBot="1" x14ac:dyDescent="0.3">
      <c r="B26" s="118"/>
      <c r="C26" s="132"/>
      <c r="D26" s="132"/>
      <c r="E26" s="132"/>
      <c r="F26" s="119"/>
    </row>
  </sheetData>
  <sheetProtection algorithmName="SHA-512" hashValue="oYy6+FMrDUJp7yajB2nFk6zfxjg7nx9wrBVSyVVHj9e4qRP7KnZOskU3IcSz5XU/0snkC3FPmsPSt6fMl/xLfw==" saltValue="JHNAqtUJ7WP4OFUpc0qITQ==" spinCount="100000" sheet="1" objects="1" scenarios="1"/>
  <mergeCells count="5">
    <mergeCell ref="C5:G5"/>
    <mergeCell ref="C6:G6"/>
    <mergeCell ref="B2:G2"/>
    <mergeCell ref="B3:G3"/>
    <mergeCell ref="B23:F2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BP18"/>
  <sheetViews>
    <sheetView zoomScaleNormal="100" workbookViewId="0">
      <selection activeCell="B5" sqref="B5"/>
    </sheetView>
  </sheetViews>
  <sheetFormatPr baseColWidth="10" defaultRowHeight="15" x14ac:dyDescent="0.25"/>
  <cols>
    <col min="1" max="1" width="34.42578125" customWidth="1"/>
    <col min="2" max="2" width="29.42578125" customWidth="1"/>
  </cols>
  <sheetData>
    <row r="2" spans="1:68" x14ac:dyDescent="0.25">
      <c r="A2" t="s">
        <v>38</v>
      </c>
      <c r="B2" t="s">
        <v>133</v>
      </c>
      <c r="C2" t="s">
        <v>0</v>
      </c>
      <c r="D2" t="s">
        <v>1</v>
      </c>
      <c r="E2" t="s">
        <v>2</v>
      </c>
      <c r="F2" t="s">
        <v>3</v>
      </c>
      <c r="G2" t="s">
        <v>4</v>
      </c>
      <c r="H2" t="s">
        <v>5</v>
      </c>
      <c r="I2" t="s">
        <v>21</v>
      </c>
      <c r="J2" t="s">
        <v>22</v>
      </c>
      <c r="K2" t="s">
        <v>26</v>
      </c>
      <c r="L2" t="s">
        <v>20</v>
      </c>
      <c r="M2" t="s">
        <v>109</v>
      </c>
      <c r="N2" s="15" t="s">
        <v>110</v>
      </c>
      <c r="O2" s="20" t="s">
        <v>103</v>
      </c>
      <c r="P2" s="20" t="s">
        <v>104</v>
      </c>
      <c r="Q2" s="20" t="s">
        <v>105</v>
      </c>
      <c r="S2" t="s">
        <v>28</v>
      </c>
      <c r="T2" t="s">
        <v>29</v>
      </c>
      <c r="U2" t="s">
        <v>30</v>
      </c>
      <c r="V2" t="s">
        <v>63</v>
      </c>
      <c r="W2" t="s">
        <v>62</v>
      </c>
      <c r="X2" t="s">
        <v>37</v>
      </c>
      <c r="Y2" t="s">
        <v>64</v>
      </c>
      <c r="Z2" t="s">
        <v>27</v>
      </c>
      <c r="AA2" t="s">
        <v>66</v>
      </c>
      <c r="AB2" t="s">
        <v>65</v>
      </c>
      <c r="AC2" t="s">
        <v>35</v>
      </c>
      <c r="AD2" t="s">
        <v>67</v>
      </c>
      <c r="AE2" t="s">
        <v>68</v>
      </c>
      <c r="AF2" t="s">
        <v>36</v>
      </c>
      <c r="AG2" t="s">
        <v>69</v>
      </c>
      <c r="AH2" t="s">
        <v>70</v>
      </c>
      <c r="AI2" t="s">
        <v>71</v>
      </c>
      <c r="AJ2" t="s">
        <v>72</v>
      </c>
      <c r="AK2" t="s">
        <v>69</v>
      </c>
      <c r="AL2" t="s">
        <v>70</v>
      </c>
      <c r="AM2" t="s">
        <v>71</v>
      </c>
      <c r="AN2" t="s">
        <v>72</v>
      </c>
      <c r="AO2" t="s">
        <v>55</v>
      </c>
      <c r="AP2" t="s">
        <v>57</v>
      </c>
      <c r="AQ2" t="s">
        <v>52</v>
      </c>
      <c r="AR2" t="s">
        <v>53</v>
      </c>
      <c r="AS2" t="s">
        <v>54</v>
      </c>
      <c r="AT2" t="s">
        <v>58</v>
      </c>
      <c r="AU2" t="s">
        <v>75</v>
      </c>
      <c r="AV2" t="s">
        <v>60</v>
      </c>
      <c r="AW2" t="s">
        <v>61</v>
      </c>
      <c r="AX2" t="s">
        <v>77</v>
      </c>
      <c r="AY2" t="s">
        <v>78</v>
      </c>
      <c r="AZ2" s="15" t="s">
        <v>80</v>
      </c>
      <c r="BA2" s="15" t="s">
        <v>81</v>
      </c>
      <c r="BB2" s="82" t="s">
        <v>130</v>
      </c>
      <c r="BC2" s="82" t="s">
        <v>131</v>
      </c>
      <c r="BD2" s="82" t="s">
        <v>132</v>
      </c>
      <c r="BE2" t="s">
        <v>93</v>
      </c>
      <c r="BF2" t="s">
        <v>94</v>
      </c>
      <c r="BG2" t="s">
        <v>95</v>
      </c>
      <c r="BH2" t="s">
        <v>96</v>
      </c>
      <c r="BI2" t="s">
        <v>97</v>
      </c>
      <c r="BJ2" t="s">
        <v>122</v>
      </c>
      <c r="BK2" t="s">
        <v>123</v>
      </c>
      <c r="BL2" t="s">
        <v>124</v>
      </c>
      <c r="BM2" t="s">
        <v>125</v>
      </c>
      <c r="BN2" t="s">
        <v>126</v>
      </c>
      <c r="BO2" t="s">
        <v>127</v>
      </c>
      <c r="BP2" t="s">
        <v>129</v>
      </c>
    </row>
    <row r="3" spans="1:68" x14ac:dyDescent="0.25">
      <c r="A3" t="str">
        <f>'Resumen general'!C5</f>
        <v>SUPERINTENDENCIA DEL SUBSIDIO FAMILIAR</v>
      </c>
      <c r="B3" t="str">
        <f>'Resumen general'!C6</f>
        <v>JOSE WILLIAM CASALLAS FANDIÑO</v>
      </c>
      <c r="C3" t="str">
        <f>+USUARIOS!C12</f>
        <v>No</v>
      </c>
      <c r="D3" t="str">
        <f>+USUARIOS!C13</f>
        <v>No</v>
      </c>
      <c r="E3" t="str">
        <f>+USUARIOS!C14</f>
        <v>No</v>
      </c>
      <c r="F3" t="str">
        <f>+USUARIOS!C15</f>
        <v>Si</v>
      </c>
      <c r="G3" t="str">
        <f>+USUARIOS!C16</f>
        <v>Si</v>
      </c>
      <c r="H3" t="str">
        <f>+USUARIOS!C17</f>
        <v>Si</v>
      </c>
      <c r="I3">
        <f>+ABOGADOS!D11</f>
        <v>1</v>
      </c>
      <c r="J3">
        <f>+ABOGADOS!D12</f>
        <v>2</v>
      </c>
      <c r="K3">
        <f>+ABOGADOS!D13</f>
        <v>1</v>
      </c>
      <c r="L3">
        <f>+ABOGADOS!D14</f>
        <v>2</v>
      </c>
      <c r="M3">
        <f>+ABOGADOS!D17</f>
        <v>0</v>
      </c>
      <c r="N3">
        <f>+ABOGADOS!D18</f>
        <v>0</v>
      </c>
      <c r="O3">
        <f>+ABOGADOS!G10</f>
        <v>2</v>
      </c>
      <c r="P3">
        <f>+ABOGADOS!G11</f>
        <v>2</v>
      </c>
      <c r="Q3">
        <f>+ABOGADOS!G12</f>
        <v>2</v>
      </c>
      <c r="S3">
        <f>+JUDICIALES!D11</f>
        <v>32</v>
      </c>
      <c r="T3">
        <f>+JUDICIALES!D12</f>
        <v>32</v>
      </c>
      <c r="U3">
        <f>+JUDICIALES!D13</f>
        <v>1</v>
      </c>
      <c r="V3">
        <f>+JUDICIALES!D16</f>
        <v>0</v>
      </c>
      <c r="W3">
        <f>+JUDICIALES!D17</f>
        <v>0</v>
      </c>
      <c r="X3">
        <f>+JUDICIALES!D21</f>
        <v>90</v>
      </c>
      <c r="Y3">
        <f>+JUDICIALES!D22</f>
        <v>2</v>
      </c>
      <c r="Z3">
        <f>+JUDICIALES!G9</f>
        <v>0</v>
      </c>
      <c r="AA3">
        <f>+JUDICIALES!G10</f>
        <v>0</v>
      </c>
      <c r="AB3">
        <f>+JUDICIALES!G11</f>
        <v>0</v>
      </c>
      <c r="AC3">
        <f>+JUDICIALES!G15</f>
        <v>31</v>
      </c>
      <c r="AD3">
        <f>+JUDICIALES!G16</f>
        <v>5</v>
      </c>
      <c r="AE3">
        <f>+JUDICIALES!G17</f>
        <v>25</v>
      </c>
      <c r="AF3">
        <f>+JUDICIALES!G18</f>
        <v>1</v>
      </c>
      <c r="AG3">
        <f>+JUDICIALES!G21</f>
        <v>13</v>
      </c>
      <c r="AH3">
        <f>+JUDICIALES!G22</f>
        <v>16</v>
      </c>
      <c r="AI3">
        <f>+JUDICIALES!G23</f>
        <v>1</v>
      </c>
      <c r="AJ3">
        <f>+JUDICIALES!G24</f>
        <v>0</v>
      </c>
      <c r="AK3">
        <f>+JUDICIALES!H21</f>
        <v>1</v>
      </c>
      <c r="AL3">
        <f>+JUDICIALES!H22</f>
        <v>9</v>
      </c>
      <c r="AM3">
        <f>+JUDICIALES!H23</f>
        <v>1</v>
      </c>
      <c r="AN3">
        <f>+JUDICIALES!H24</f>
        <v>0</v>
      </c>
      <c r="AO3">
        <f>+PREJUDICIALES!D10</f>
        <v>1</v>
      </c>
      <c r="AP3">
        <f>+PREJUDICIALES!D11</f>
        <v>6</v>
      </c>
      <c r="AQ3">
        <f>+PREJUDICIALES!D12</f>
        <v>0</v>
      </c>
      <c r="AR3">
        <f>+PREJUDICIALES!D13</f>
        <v>2</v>
      </c>
      <c r="AS3">
        <f>+PREJUDICIALES!D14</f>
        <v>4</v>
      </c>
      <c r="AT3">
        <f>+PREJUDICIALES!D17</f>
        <v>3</v>
      </c>
      <c r="AU3">
        <f>+PREJUDICIALES!D18</f>
        <v>3</v>
      </c>
      <c r="AV3">
        <f>+PREJUDICIALES!G12</f>
        <v>0</v>
      </c>
      <c r="AW3">
        <f>+PREJUDICIALES!G13</f>
        <v>6</v>
      </c>
      <c r="AX3">
        <f>+ARBITRAMENTOS!D9</f>
        <v>0</v>
      </c>
      <c r="AY3">
        <f>+ARBITRAMENTOS!D10</f>
        <v>0</v>
      </c>
      <c r="AZ3" t="str">
        <f>+PAGOS!D9</f>
        <v>No</v>
      </c>
      <c r="BA3">
        <f>+PAGOS!D10</f>
        <v>0</v>
      </c>
      <c r="BB3" s="82">
        <f>USUARIOS!D9</f>
        <v>44433</v>
      </c>
      <c r="BC3" s="82">
        <f>ABOGADOS!D7</f>
        <v>44433</v>
      </c>
      <c r="BD3" s="82">
        <f>JUDICIALES!D8</f>
        <v>44433</v>
      </c>
      <c r="BE3">
        <f>JUDICIALES!D28</f>
        <v>0</v>
      </c>
      <c r="BF3">
        <f>JUDICIALES!D29</f>
        <v>0</v>
      </c>
      <c r="BG3">
        <f>JUDICIALES!D30</f>
        <v>0</v>
      </c>
      <c r="BH3">
        <f>JUDICIALES!D31</f>
        <v>0</v>
      </c>
      <c r="BI3">
        <f>JUDICIALES!D32</f>
        <v>0</v>
      </c>
      <c r="BJ3" t="str">
        <f>+USUARIOS!C19</f>
        <v xml:space="preserve">1. Ingreso y retiro de usuarios: De acuerdo con el reporte generado desde el sistema eKOGUI correspondiente al primer semestre de 2021 (corte a 30 de junio de 2021), se identificaron las siguientes situaciones:
- Se continuó observando que no estaban creados los usuarios con rol "Jefe Jurídico", “Jefe Financiero“ y “Enlace de Pagos“.
- Se continuó observando que el usuario con rol “Administrador de la Entidad“ estaba registrado como activo en el sistema a la fecha de la verificación, sin embargo, no está vinculado a la Entidad desde el 30 de junio de 2020.
2. Capacitación: Al respecto se informó por parte de la Oficina Asesora Jurídica que "En los roles de (...) Secretario Técnico del Comité de Conciliación no hubo capacitaciones durante el primer semestre de 2021.". 
En cuanto al usuario con rol “Jefe de Control Interno”, se delegó a contratista de la Oficina de Control Interno la asistencia a capacitación virtual convocada por la ANDJE el 16 de febrero de 2021 con la temática “Perfil Control Interno, Módulos y Funcionalidades”, es de aclarar que, la ANDJE permite que la capacitación para el Jefe de Control Interno sea recibida por un funcionario delegado. </v>
      </c>
      <c r="BK3" t="str">
        <f>+ABOGADOS!C21</f>
        <v>1. Se siguió observando que con corte a 30 de junio de 2021, la usuario AURA ELVIRA GOMEZ MARTINEZ con rol “Abogado“ continuaba como activo en el sistema, sin embargo, no se encontraba vinculada a la Entidad desde el 30 de junio de 2020, además se observó que continua con la asignación de 25 procesos judiciales activos.
2. Con respecto a la asistencia a capacitaciones convocadas por la ANDJE y/o realizada por el administrador del sistema en relación con la versión 2.0 del Sistema eKOGUI en el rol abogado, no se observó evidencia. Es de anotar que la Oficina Asesora Jurídica informó la participación de 5 capacitaciones pero revisadas dichas certificaciones no estaban relacionadas con el rol de abogado, de conformidad con lo dispuesto en el Decreto 1069 de 2015, numeral 4 del artículo 2.2.3.4.1.9 y numeral 1 del artículo 2.2.3.4.1.13.</v>
      </c>
      <c r="BL3" t="str">
        <f>+JUDICIALES!F28</f>
        <v xml:space="preserve">1. El proceso con ID EKOGUI 1003436 no tenía abogado asignado. Es de anotar que en el sistema eKOGUI se encontraban 25 procesos activos asignados a un usuario que está desvinculado de la Entidad desde el 30 de junio de 2020.
2. Los procesos con ID EKOGUI 133383 y 160236 registraban en los procesos activos con estado general del proceso  "Terminado" en el sistema eKOGUI, de acuerdo con la base de datos suministrada por la Oficina Asesora Jurídica se observó que no se encuentran terminados.
3. CALIFICACIÓN DEL RIESGO: El proceso con ID eKOGUI 2180392 se encontraba sin calificación del riesgo a 30 de junio de 2021.
Se observaron 25 procesos con calificación del riesgo anterior al 31 de diciembre de 2020, desde el 2 de febrero de 2019 no se han actualizado, lo cual evidencia la inobservancia a lo dispuesto en el numeral 4 del artículo 2.2.3.4.1.10 del Decreto 1069 de 2015, que indica que es función del apoderado: "4. Calificar el riesgo en cada uno de los procesos judiciales a su cargo, con una periodicidad no superior a seis (6) meses, así como cada vez que se profiera una sentencia judicial sobre el mismo, de conformidad con la metodología que determine la Agencia Nacional de Defensa Jurídica del Estado."
4. PROVISIÓN CONTABLE: Se observa provisión incorrecta para ocho (8) procesos teniendo en cuenta que, un (1) proceso con probabilidad de perder el caso alta, registra provision igual a 0, siendo que la pretensión económica es mayor a 0. Por otra parte, se registran siste (7) procesos con probabilidad de perder el caso media y con provisión superior a 0. </v>
      </c>
      <c r="BM3" t="str">
        <f>+PREJUDICIALES!F17</f>
        <v>Se identificaron los mismos seis (6) procesos prejudiciales activos con registro anterior periodo objeto de verificación, al respecto en el seguimiento correspondiente al segundo semestre de 2020, la Oficina Asesora Jurídica informó lo siguiente: 
Los ID eKOGUI 1403049 y 1403076 corresponden a un registro duplicado, se encuentra terminado y se indicó que el proceso no se puede finalizar en la plataforma.
El ID eKOGUI 1111277 fue registrado en la plataforma Ekogui 1.0 y nunca fue finalizado. Actualmente no es posible terminarlo, porque la plataforma no lo permite.
Los ID eKOGUI 1398091, 1425524 y 1426245 se encuentran terminados, se indicó que no se pueden finalizar en la plataforma.</v>
      </c>
      <c r="BN3">
        <f>+ARBITRAMENTOS!C13</f>
        <v>0</v>
      </c>
      <c r="BO3" t="str">
        <f>+PAGOS!F8</f>
        <v>La Oficina Asesora Jurídica informó que durante el primer semestre de 2021 no se canceló suma alguna de dinero por concepto de sentencias, conciliaciones y/o laudos arbitrales.</v>
      </c>
      <c r="BP3" t="str">
        <f>'Resumen general'!B23</f>
        <v>1. Se reitera la recomendación de adelantar las gestiones pertinentes para que el Representante Legal de la Entidad asigne a un nuevo usuario con el rol “Administrador de la Entidad”, teniendo en cuenta que el usuario que tiene designado ese rol está desvinculado a la Entidad. Asimismo, se debe informar dentro de los 10 días hábiles siguientes de la designación a la Agencia Nacional de Defensa Jurídica (ANDJE), conforme a lo establecido en el artículo 2.2.3.4.1.8. del Decreto 1069 de 2015. 
2.Realizar las activaciones e inactivaciones de los usuarios según corresponda y de acuerdo con las novedades que presenten los usuarios en la Entidad, en ese sentido, se recomienda adelantar las gestiones necesarias  para que se designen los usuarios con rol "Jefe Jurídico", “Jefe Financiero” y “Enlace de Pagos”.
3. Programar asistencia a capacitaciones para los usuarios que se activen para el rol Administrador de la Entidad, Jefe Jurídico, Jefe Financiero y Enlace de Pago, así como para los usuarios con rol Secretario Técnico y rol abogado, con el fin de actualizarse en el funcionamiento de la versión 2.0 del sistema eKOGUI.
4. Teniendo en cuenta que uno de los usuarios con rol abogado se encuentra desvinculado de la Entidad desde el 30 de junio de 2020, con 25 procesos activos asignados, se reitera la recomendación de realizar la desactivación en el sistema, y reasignar los procesos a otro usuario con el rol abogado. 
5. Se reitera la recomendación de asignar abogado en el sistema al proceso activo con ID eKOGUI 1003436.
6. Se reitera la recomendación que incorpore oportunamente la calificación de riesgo de los procesos judiciales y su actualización en el sistema eKOGUI en una periodicidad no superior a 6 meses, así como cada vez que se profiera sentencia, de tal manera, que se garantice el cumplimiento de los plazos señalados en la normatividad vigente. 
Así como, corregir la provisión contable de ocho (8) procesos, conforme a la Resoluciones No. 0075 de 2017 de la SSF y la No. 353 de 2016 de la ANDJE. 
7. Se reitera la recomendación que respecto a los procesos prejudiciales registrados como activos y duplicados en el sistema, que se encuentran terminados y no se han podido finalizar, adelantar las acciones necesarias ante el soporte Ekogui para depurar los mismos.</v>
      </c>
    </row>
    <row r="12" spans="1:68" x14ac:dyDescent="0.25">
      <c r="A12" t="s">
        <v>38</v>
      </c>
      <c r="B12" t="s">
        <v>15</v>
      </c>
      <c r="C12" t="s">
        <v>16</v>
      </c>
      <c r="D12" t="s">
        <v>6</v>
      </c>
      <c r="E12" t="s">
        <v>7</v>
      </c>
      <c r="F12" t="s">
        <v>17</v>
      </c>
      <c r="G12" t="s">
        <v>87</v>
      </c>
    </row>
    <row r="13" spans="1:68" x14ac:dyDescent="0.25">
      <c r="A13" t="str">
        <f t="shared" ref="A13:A18" si="0">$A$3</f>
        <v>SUPERINTENDENCIA DEL SUBSIDIO FAMILIAR</v>
      </c>
      <c r="B13" t="s">
        <v>0</v>
      </c>
      <c r="C13" t="str">
        <f>USUARIOS!C12</f>
        <v>No</v>
      </c>
      <c r="D13">
        <f>USUARIOS!D12</f>
        <v>0</v>
      </c>
      <c r="E13">
        <f>USUARIOS!E12</f>
        <v>0</v>
      </c>
      <c r="F13">
        <f>USUARIOS!F12</f>
        <v>0</v>
      </c>
      <c r="G13" t="str">
        <f>USUARIOS!G12</f>
        <v/>
      </c>
    </row>
    <row r="14" spans="1:68" x14ac:dyDescent="0.25">
      <c r="A14" t="str">
        <f t="shared" si="0"/>
        <v>SUPERINTENDENCIA DEL SUBSIDIO FAMILIAR</v>
      </c>
      <c r="B14" t="s">
        <v>1</v>
      </c>
      <c r="C14" t="str">
        <f>USUARIOS!C13</f>
        <v>No</v>
      </c>
      <c r="D14">
        <f>USUARIOS!D13</f>
        <v>0</v>
      </c>
      <c r="E14">
        <f>USUARIOS!E13</f>
        <v>0</v>
      </c>
      <c r="F14">
        <f>USUARIOS!F13</f>
        <v>0</v>
      </c>
      <c r="G14" t="str">
        <f>USUARIOS!G13</f>
        <v/>
      </c>
    </row>
    <row r="15" spans="1:68" x14ac:dyDescent="0.25">
      <c r="A15" t="str">
        <f t="shared" si="0"/>
        <v>SUPERINTENDENCIA DEL SUBSIDIO FAMILIAR</v>
      </c>
      <c r="B15" t="s">
        <v>2</v>
      </c>
      <c r="C15" t="str">
        <f>USUARIOS!C14</f>
        <v>No</v>
      </c>
      <c r="D15">
        <f>USUARIOS!D14</f>
        <v>0</v>
      </c>
      <c r="E15">
        <f>USUARIOS!E14</f>
        <v>0</v>
      </c>
      <c r="F15">
        <f>USUARIOS!F14</f>
        <v>0</v>
      </c>
      <c r="G15" t="str">
        <f>USUARIOS!G14</f>
        <v/>
      </c>
    </row>
    <row r="16" spans="1:68" x14ac:dyDescent="0.25">
      <c r="A16" t="str">
        <f t="shared" si="0"/>
        <v>SUPERINTENDENCIA DEL SUBSIDIO FAMILIAR</v>
      </c>
      <c r="B16" t="s">
        <v>3</v>
      </c>
      <c r="C16" t="str">
        <f>USUARIOS!C15</f>
        <v>Si</v>
      </c>
      <c r="D16">
        <f>USUARIOS!D15</f>
        <v>42933</v>
      </c>
      <c r="E16" t="str">
        <f>USUARIOS!E15</f>
        <v>JOSE WILLIAM CASALLAS FANDIÑO</v>
      </c>
      <c r="F16">
        <f>USUARIOS!F15</f>
        <v>44243</v>
      </c>
      <c r="G16" t="str">
        <f>USUARIOS!G15</f>
        <v/>
      </c>
    </row>
    <row r="17" spans="1:7" x14ac:dyDescent="0.25">
      <c r="A17" t="str">
        <f t="shared" si="0"/>
        <v>SUPERINTENDENCIA DEL SUBSIDIO FAMILIAR</v>
      </c>
      <c r="B17" t="s">
        <v>4</v>
      </c>
      <c r="C17" t="str">
        <f>USUARIOS!C16</f>
        <v>Si</v>
      </c>
      <c r="D17">
        <f>USUARIOS!D16</f>
        <v>43706</v>
      </c>
      <c r="E17" t="str">
        <f>USUARIOS!E16</f>
        <v>JUAN CARLOS GONZALEZ SUAREZ</v>
      </c>
      <c r="F17">
        <f>USUARIOS!F16</f>
        <v>0</v>
      </c>
      <c r="G17" t="str">
        <f>USUARIOS!G16</f>
        <v>DESACTUALIZADO</v>
      </c>
    </row>
    <row r="18" spans="1:7" x14ac:dyDescent="0.25">
      <c r="A18" t="str">
        <f t="shared" si="0"/>
        <v>SUPERINTENDENCIA DEL SUBSIDIO FAMILIAR</v>
      </c>
      <c r="B18" t="s">
        <v>5</v>
      </c>
      <c r="C18" t="str">
        <f>USUARIOS!C17</f>
        <v>Si</v>
      </c>
      <c r="D18">
        <f>USUARIOS!D17</f>
        <v>43528</v>
      </c>
      <c r="E18" t="str">
        <f>USUARIOS!E17</f>
        <v>AURA ELVIRA GOMEZ MARTINEZ</v>
      </c>
      <c r="F18">
        <f>USUARIOS!F17</f>
        <v>0</v>
      </c>
      <c r="G18" t="str">
        <f>USUARIOS!G17</f>
        <v>DESACTUALIZADO</v>
      </c>
    </row>
  </sheetData>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Principal</vt:lpstr>
      <vt:lpstr>USUARIOS</vt:lpstr>
      <vt:lpstr>ABOGADOS</vt:lpstr>
      <vt:lpstr>JUDICIALES</vt:lpstr>
      <vt:lpstr>PREJUDICIALES</vt:lpstr>
      <vt:lpstr>ARBITRAMENTOS</vt:lpstr>
      <vt:lpstr>PAGOS</vt:lpstr>
      <vt:lpstr>Resumen general</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Carmen Aylet Rubio Torres</cp:lastModifiedBy>
  <dcterms:created xsi:type="dcterms:W3CDTF">2020-06-25T21:16:25Z</dcterms:created>
  <dcterms:modified xsi:type="dcterms:W3CDTF">2021-08-31T15:33:34Z</dcterms:modified>
</cp:coreProperties>
</file>