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ruanor\Downloads\"/>
    </mc:Choice>
  </mc:AlternateContent>
  <xr:revisionPtr revIDLastSave="0" documentId="8_{7A90EED2-EBA8-4218-9578-5EEC0C690165}" xr6:coauthVersionLast="36" xr6:coauthVersionMax="36" xr10:uidLastSave="{00000000-0000-0000-0000-000000000000}"/>
  <bookViews>
    <workbookView xWindow="0" yWindow="0" windowWidth="28800" windowHeight="10125" xr2:uid="{00000000-000D-0000-FFFF-FFFF00000000}"/>
  </bookViews>
  <sheets>
    <sheet name="Hoja1" sheetId="2" r:id="rId1"/>
  </sheets>
  <definedNames>
    <definedName name="_xlnm._FilterDatabase" localSheetId="0" hidden="1">Hoja1!$A$1:$O$8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2" i="2" l="1"/>
  <c r="L122" i="2" s="1"/>
  <c r="J38" i="2" l="1"/>
  <c r="J77" i="2"/>
  <c r="J76" i="2"/>
  <c r="J75" i="2"/>
  <c r="J74" i="2"/>
  <c r="J73" i="2"/>
  <c r="J72" i="2"/>
  <c r="J71" i="2" l="1"/>
  <c r="J70" i="2"/>
  <c r="J69" i="2"/>
  <c r="J66" i="2"/>
  <c r="J65" i="2"/>
  <c r="J64" i="2"/>
  <c r="J63" i="2"/>
  <c r="J62" i="2"/>
  <c r="J61" i="2"/>
  <c r="J60" i="2"/>
  <c r="J59" i="2"/>
  <c r="J58" i="2"/>
  <c r="J57" i="2"/>
  <c r="J56" i="2"/>
  <c r="J55" i="2"/>
  <c r="J54" i="2"/>
  <c r="J51" i="2"/>
  <c r="J50" i="2"/>
  <c r="J49" i="2"/>
  <c r="J48" i="2"/>
  <c r="J47" i="2"/>
  <c r="J46" i="2"/>
  <c r="J44" i="2"/>
  <c r="J42" i="2"/>
  <c r="J41" i="2"/>
  <c r="J40" i="2"/>
  <c r="J39" i="2"/>
  <c r="J34" i="2"/>
  <c r="J32" i="2"/>
  <c r="J31" i="2"/>
  <c r="J29" i="2"/>
  <c r="J27" i="2"/>
  <c r="J26" i="2"/>
  <c r="J25" i="2"/>
  <c r="J24" i="2"/>
  <c r="J23" i="2"/>
  <c r="J22" i="2"/>
  <c r="J21" i="2"/>
  <c r="J20" i="2"/>
  <c r="J19" i="2"/>
  <c r="K19" i="2" s="1"/>
  <c r="J18" i="2"/>
  <c r="K14" i="2"/>
  <c r="J14" i="2"/>
  <c r="J17" i="2"/>
  <c r="J16" i="2"/>
  <c r="J13" i="2"/>
  <c r="J11" i="2"/>
  <c r="J10" i="2"/>
  <c r="J8" i="2"/>
  <c r="J3" i="2" l="1"/>
  <c r="J2" i="2"/>
  <c r="J7" i="2" l="1"/>
  <c r="J4" i="2"/>
  <c r="J12" i="2"/>
  <c r="K79" i="2"/>
  <c r="L79" i="2"/>
  <c r="K80" i="2"/>
  <c r="L80" i="2"/>
  <c r="K81" i="2"/>
  <c r="L81" i="2" s="1"/>
  <c r="K82" i="2"/>
  <c r="L82" i="2" s="1"/>
  <c r="K83" i="2"/>
  <c r="L83" i="2"/>
  <c r="K84" i="2"/>
  <c r="L84" i="2" s="1"/>
  <c r="K85" i="2"/>
  <c r="L85" i="2" s="1"/>
  <c r="K86" i="2"/>
  <c r="L86" i="2" s="1"/>
  <c r="K87" i="2"/>
  <c r="L87" i="2" s="1"/>
  <c r="K88" i="2"/>
  <c r="L88" i="2" s="1"/>
  <c r="K89" i="2"/>
  <c r="L89" i="2"/>
  <c r="K90" i="2"/>
  <c r="L90" i="2"/>
  <c r="K91" i="2"/>
  <c r="L91" i="2" s="1"/>
  <c r="K92" i="2"/>
  <c r="L92" i="2"/>
  <c r="K93" i="2"/>
  <c r="L93" i="2" s="1"/>
  <c r="K94" i="2"/>
  <c r="L94" i="2" s="1"/>
  <c r="K95" i="2"/>
  <c r="L95" i="2" s="1"/>
  <c r="K96" i="2"/>
  <c r="L96" i="2"/>
  <c r="K97" i="2"/>
  <c r="L97" i="2" s="1"/>
  <c r="K98" i="2"/>
  <c r="L98" i="2" s="1"/>
  <c r="K99" i="2"/>
  <c r="L99" i="2" s="1"/>
  <c r="K100" i="2"/>
  <c r="L100" i="2" s="1"/>
  <c r="K101" i="2"/>
  <c r="L101" i="2" s="1"/>
  <c r="K102" i="2"/>
  <c r="L102" i="2" s="1"/>
  <c r="K103" i="2"/>
  <c r="L103" i="2" s="1"/>
  <c r="K104" i="2"/>
  <c r="L104" i="2" s="1"/>
  <c r="K105" i="2"/>
  <c r="L105" i="2" s="1"/>
  <c r="K106" i="2"/>
  <c r="L106" i="2" s="1"/>
  <c r="K107" i="2"/>
  <c r="L107" i="2" s="1"/>
  <c r="K108" i="2"/>
  <c r="L108" i="2" s="1"/>
  <c r="K109" i="2"/>
  <c r="L109" i="2"/>
  <c r="K110" i="2"/>
  <c r="L110" i="2"/>
  <c r="K111" i="2"/>
  <c r="L111" i="2" s="1"/>
  <c r="K112" i="2"/>
  <c r="L112" i="2" s="1"/>
  <c r="K113" i="2"/>
  <c r="L113" i="2" s="1"/>
  <c r="K114" i="2"/>
  <c r="L114" i="2" s="1"/>
  <c r="K115" i="2"/>
  <c r="L115" i="2"/>
  <c r="K116" i="2"/>
  <c r="L116" i="2" s="1"/>
  <c r="K117" i="2"/>
  <c r="L117" i="2" s="1"/>
  <c r="K118" i="2"/>
  <c r="L118" i="2"/>
  <c r="K119" i="2"/>
  <c r="L119" i="2"/>
  <c r="K120" i="2"/>
  <c r="L120" i="2" s="1"/>
  <c r="K121" i="2"/>
  <c r="L121" i="2" s="1"/>
  <c r="K61" i="2"/>
  <c r="L61" i="2" s="1"/>
  <c r="L19" i="2" l="1"/>
  <c r="K20" i="2"/>
  <c r="L20" i="2"/>
  <c r="K21" i="2"/>
  <c r="L21" i="2" s="1"/>
  <c r="K22" i="2"/>
  <c r="L22" i="2"/>
  <c r="K23" i="2"/>
  <c r="L23" i="2" s="1"/>
  <c r="K24" i="2"/>
  <c r="L24" i="2" s="1"/>
  <c r="K25" i="2"/>
  <c r="L25" i="2" s="1"/>
  <c r="K26" i="2"/>
  <c r="L26" i="2" s="1"/>
  <c r="K27" i="2"/>
  <c r="L27" i="2" s="1"/>
  <c r="K28" i="2"/>
  <c r="L28" i="2" s="1"/>
  <c r="K29" i="2"/>
  <c r="L29" i="2" s="1"/>
  <c r="K30" i="2"/>
  <c r="L30" i="2" s="1"/>
  <c r="K31" i="2"/>
  <c r="L31" i="2" s="1"/>
  <c r="K32" i="2"/>
  <c r="L32" i="2" s="1"/>
  <c r="K33" i="2"/>
  <c r="L33" i="2" s="1"/>
  <c r="K34" i="2"/>
  <c r="L34" i="2" s="1"/>
  <c r="K35" i="2"/>
  <c r="L35" i="2"/>
  <c r="K36" i="2"/>
  <c r="L36" i="2" s="1"/>
  <c r="K37" i="2"/>
  <c r="L37" i="2" s="1"/>
  <c r="K38" i="2"/>
  <c r="L38" i="2" s="1"/>
  <c r="K39" i="2"/>
  <c r="L39" i="2" s="1"/>
  <c r="K40" i="2"/>
  <c r="L40" i="2" s="1"/>
  <c r="K41" i="2"/>
  <c r="L41" i="2" s="1"/>
  <c r="K43" i="2"/>
  <c r="L43" i="2" s="1"/>
  <c r="K44" i="2"/>
  <c r="L44" i="2" s="1"/>
  <c r="K45" i="2"/>
  <c r="L45" i="2"/>
  <c r="K46" i="2"/>
  <c r="L46" i="2" s="1"/>
  <c r="K47" i="2"/>
  <c r="L47"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2" i="2"/>
  <c r="L62" i="2" s="1"/>
  <c r="K63" i="2"/>
  <c r="L63" i="2" s="1"/>
  <c r="K64" i="2"/>
  <c r="L64" i="2" s="1"/>
  <c r="K65" i="2"/>
  <c r="L65" i="2" s="1"/>
  <c r="K66" i="2"/>
  <c r="L66" i="2" s="1"/>
  <c r="K67" i="2"/>
  <c r="L67" i="2" s="1"/>
  <c r="K68" i="2"/>
  <c r="L68" i="2" s="1"/>
  <c r="K69" i="2"/>
  <c r="L69" i="2" s="1"/>
  <c r="K70" i="2"/>
  <c r="L70" i="2" s="1"/>
  <c r="K71" i="2"/>
  <c r="L71" i="2"/>
  <c r="K72" i="2"/>
  <c r="L72" i="2" s="1"/>
  <c r="K73" i="2"/>
  <c r="L73" i="2" s="1"/>
  <c r="K74" i="2"/>
  <c r="L74" i="2" s="1"/>
  <c r="K75" i="2"/>
  <c r="L75" i="2" s="1"/>
  <c r="K76" i="2"/>
  <c r="L76" i="2" s="1"/>
  <c r="K77" i="2"/>
  <c r="L77" i="2" s="1"/>
  <c r="K78" i="2"/>
  <c r="L78" i="2"/>
  <c r="K15" i="2"/>
  <c r="L15" i="2" s="1"/>
  <c r="K9" i="2"/>
  <c r="L9" i="2" s="1"/>
  <c r="K10" i="2"/>
  <c r="L10" i="2" s="1"/>
  <c r="K11" i="2"/>
  <c r="L11" i="2" s="1"/>
  <c r="K12" i="2"/>
  <c r="L12" i="2" s="1"/>
  <c r="K13" i="2"/>
  <c r="L13" i="2" s="1"/>
  <c r="L14" i="2"/>
  <c r="K16" i="2"/>
  <c r="L16" i="2" s="1"/>
  <c r="K17" i="2"/>
  <c r="L17" i="2" s="1"/>
  <c r="K8" i="2"/>
  <c r="L8" i="2" s="1"/>
  <c r="K18" i="2"/>
  <c r="L18" i="2" s="1"/>
  <c r="K42" i="2"/>
  <c r="L42" i="2" s="1"/>
</calcChain>
</file>

<file path=xl/sharedStrings.xml><?xml version="1.0" encoding="utf-8"?>
<sst xmlns="http://schemas.openxmlformats.org/spreadsheetml/2006/main" count="378" uniqueCount="376">
  <si>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</si>
  <si>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</si>
  <si>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</si>
  <si>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</si>
  <si>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</si>
  <si>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</si>
  <si>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</si>
  <si>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</si>
  <si>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</si>
  <si>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</si>
  <si>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</si>
  <si>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</si>
  <si>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</si>
  <si>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</si>
  <si>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</si>
  <si>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</si>
  <si>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</si>
  <si>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</si>
  <si>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</si>
  <si>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</si>
  <si>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</si>
  <si>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</si>
  <si>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</si>
  <si>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</si>
  <si>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</si>
  <si>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</si>
  <si>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</si>
  <si>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</si>
  <si>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</si>
  <si>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</si>
  <si>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</si>
  <si>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</si>
  <si>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</si>
  <si>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</si>
  <si>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</si>
  <si>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</si>
  <si>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</si>
  <si>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</si>
  <si>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</si>
  <si>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</si>
  <si>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</si>
  <si>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</si>
  <si>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</si>
  <si>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</si>
  <si>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</si>
  <si>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</si>
  <si>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</si>
  <si>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</si>
  <si>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</si>
  <si>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</si>
  <si>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</si>
  <si>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</si>
  <si>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</si>
  <si>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</si>
  <si>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</si>
  <si>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</si>
  <si>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</si>
  <si>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</si>
  <si>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</si>
  <si>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</si>
  <si>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</si>
  <si>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</si>
  <si>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</si>
  <si>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</si>
  <si>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</si>
  <si>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</si>
  <si>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</si>
  <si>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</si>
  <si>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</si>
  <si>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</si>
  <si>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</si>
  <si>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</si>
  <si>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</si>
  <si>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</si>
  <si>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</si>
  <si>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</si>
  <si>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</si>
  <si>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</si>
  <si>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</si>
  <si>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</si>
  <si>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</si>
  <si>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</si>
  <si>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</si>
  <si>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</si>
  <si>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</si>
  <si>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</si>
  <si>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</si>
  <si>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</si>
  <si>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</si>
  <si>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</si>
  <si>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</si>
  <si>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</si>
  <si>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</si>
  <si>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</si>
  <si>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</si>
  <si>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</si>
  <si>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</si>
  <si>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</si>
  <si>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</si>
  <si>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</si>
  <si>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</si>
  <si>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</si>
  <si>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</si>
  <si>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</si>
  <si>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</si>
  <si>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</si>
  <si>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</si>
  <si>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</si>
  <si>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</si>
  <si>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</si>
  <si>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</si>
  <si>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</si>
  <si>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</si>
  <si>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</si>
  <si>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</si>
  <si>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</si>
  <si>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</si>
  <si>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</si>
  <si>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</si>
  <si>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</si>
  <si>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</si>
  <si>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</si>
  <si>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</si>
  <si>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</si>
  <si>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</si>
  <si>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</si>
  <si>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</si>
  <si>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</si>
  <si>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</si>
  <si>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</si>
  <si>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</si>
  <si>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</si>
  <si>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</si>
  <si>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</si>
  <si>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</si>
  <si>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</si>
  <si>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</si>
  <si>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</si>
  <si>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</si>
  <si>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</si>
  <si>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</si>
  <si>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</si>
  <si>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</si>
  <si>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</si>
  <si>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</si>
  <si>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</si>
  <si>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</si>
  <si>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</si>
  <si>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</si>
  <si>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</si>
  <si>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</si>
  <si>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</si>
  <si>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</si>
  <si>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</si>
  <si>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</si>
  <si>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</si>
  <si>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</si>
  <si>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</si>
  <si>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</si>
  <si>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</si>
  <si>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</si>
  <si>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</si>
  <si>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</si>
  <si>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</si>
  <si>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</si>
  <si>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</si>
  <si>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</si>
  <si>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</si>
  <si>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</si>
  <si>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</si>
  <si>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</si>
  <si>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</si>
  <si>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</si>
  <si>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</si>
  <si>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</si>
  <si>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</si>
  <si>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</si>
  <si>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</si>
  <si>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</si>
  <si>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</si>
  <si>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</si>
  <si>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</si>
  <si>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</si>
  <si>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</si>
  <si>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</si>
  <si>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</si>
  <si>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</si>
  <si>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</si>
  <si>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</si>
  <si>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</si>
  <si>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</si>
  <si>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</si>
  <si>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</si>
  <si>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</si>
  <si>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</si>
  <si>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</si>
  <si>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</si>
  <si>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</si>
  <si>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</si>
  <si>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</si>
  <si>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</si>
  <si>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</si>
  <si>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</si>
  <si>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</si>
  <si>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</si>
  <si>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</si>
  <si>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</si>
  <si>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</si>
  <si>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</si>
  <si>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</si>
  <si>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</si>
  <si>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</si>
  <si>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</si>
  <si>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</si>
  <si>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</si>
  <si>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</si>
  <si>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</si>
  <si>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</si>
  <si>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</si>
  <si>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</si>
  <si>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</si>
  <si>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</si>
  <si>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</si>
  <si>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</si>
  <si>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</si>
  <si>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</si>
  <si>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</si>
  <si>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</si>
  <si>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</si>
  <si>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</si>
  <si>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</si>
  <si>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</si>
  <si>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</si>
  <si>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</si>
  <si>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</si>
  <si>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</si>
  <si>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</si>
  <si>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</si>
  <si>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</si>
  <si>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</si>
  <si>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</si>
  <si>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</si>
  <si>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</si>
  <si>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</si>
  <si>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</si>
  <si>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</si>
  <si>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</si>
  <si>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</si>
  <si>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</si>
  <si>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</si>
  <si>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</si>
  <si>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</si>
  <si>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</si>
  <si>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</si>
  <si>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</si>
  <si>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</si>
  <si>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</si>
  <si>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</si>
  <si>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</si>
  <si>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</si>
  <si>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</si>
  <si>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</si>
  <si>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</si>
  <si>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</si>
  <si>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</si>
  <si>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</si>
  <si>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</si>
  <si>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</si>
  <si>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</si>
  <si>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</si>
  <si>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</si>
  <si>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</si>
  <si>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</si>
  <si>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</si>
  <si>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</si>
  <si>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</si>
  <si>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</si>
  <si>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</si>
  <si>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</si>
  <si>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</si>
  <si>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</si>
  <si>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</si>
  <si>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</si>
  <si>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</si>
  <si>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</si>
  <si>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</si>
  <si>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</si>
  <si>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</si>
  <si>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</si>
  <si>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</si>
  <si>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</si>
  <si>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</si>
  <si>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</si>
  <si>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</si>
  <si>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</si>
  <si>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</si>
  <si>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</si>
  <si>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</si>
  <si>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</si>
  <si>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</si>
  <si>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</si>
  <si>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</si>
  <si>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</si>
  <si>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</si>
  <si>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</si>
  <si>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</si>
  <si>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</si>
  <si>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</si>
  <si>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</si>
  <si>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</si>
  <si>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</si>
  <si>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</si>
  <si>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</si>
  <si>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</si>
  <si>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</si>
  <si>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</si>
  <si>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</si>
  <si>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ERNANDO JOSE DAVID TORRES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</si>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</sst>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dd/mm/yyyy;@"/>
  </numFmts>
  <fonts count="6" x14ac:knownFonts="1">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theme="0"/>
        <bgColor theme="4"/>
      </patternFill>
    </fill>
    <fill>
      <patternFill patternType="solid">
        <fgColor theme="4" tint="0.59999389629810485"/>
        <bgColor indexed="64"/>
      </patternFill>
    </fill>
    <fill>
      <patternFill patternType="solid">
        <fgColor theme="4" tint="0.59999389629810485"/>
        <bgColor theme="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
    <xf numFmtId="0" fontId="0" fillId="0" borderId="0" xfId="0"/>
    <xf numFmtId="0" fontId="0" fillId="2" borderId="1" xfId="0" applyFill="1" applyBorder="1" applyAlignment="1">
      <alignment horizontal="center" vertical="center" wrapText="1"/>
    </xf>
    <xf numFmtId="0" fontId="0" fillId="2" borderId="0" xfId="0" applyFill="1"/>
    <xf numFmtId="0" fontId="0" fillId="2" borderId="1" xfId="0" applyFill="1" applyBorder="1" applyAlignment="1">
      <alignment horizontal="justify" vertical="center" wrapText="1"/>
    </xf>
    <xf numFmtId="14" fontId="0" fillId="2" borderId="1" xfId="0" applyNumberFormat="1" applyFill="1" applyBorder="1" applyAlignment="1">
      <alignment horizontal="center" vertical="center" wrapText="1"/>
    </xf>
    <xf numFmtId="44" fontId="0"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0" xfId="0" applyFill="1" applyAlignment="1">
      <alignment wrapText="1"/>
    </xf>
    <xf numFmtId="44" fontId="2" fillId="3" borderId="1" xfId="1" applyFont="1" applyFill="1" applyBorder="1" applyAlignment="1">
      <alignment horizontal="center" vertical="center" wrapText="1"/>
    </xf>
    <xf numFmtId="44" fontId="0" fillId="2" borderId="1" xfId="1" applyFont="1" applyFill="1" applyBorder="1" applyAlignment="1">
      <alignment horizontal="center" vertical="center"/>
    </xf>
    <xf numFmtId="44" fontId="0" fillId="2" borderId="0" xfId="1" applyFont="1" applyFill="1" applyAlignment="1">
      <alignment vertical="center"/>
    </xf>
    <xf numFmtId="1" fontId="3" fillId="2" borderId="1" xfId="0" applyNumberFormat="1" applyFont="1" applyFill="1" applyBorder="1" applyAlignment="1">
      <alignment horizontal="center" vertical="center" wrapText="1"/>
    </xf>
    <xf numFmtId="44" fontId="3" fillId="2" borderId="1" xfId="1" applyFont="1" applyFill="1" applyBorder="1" applyAlignment="1">
      <alignment horizontal="center" vertical="center" wrapText="1"/>
    </xf>
    <xf numFmtId="0" fontId="0" fillId="2" borderId="0" xfId="0" applyFill="1" applyAlignment="1">
      <alignment horizontal="center" vertical="center"/>
    </xf>
    <xf numFmtId="10" fontId="0" fillId="0" borderId="1" xfId="2" applyNumberFormat="1" applyFont="1" applyFill="1" applyBorder="1" applyAlignment="1">
      <alignment horizontal="center" vertical="center"/>
    </xf>
    <xf numFmtId="1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justify" vertical="center" wrapText="1"/>
    </xf>
    <xf numFmtId="44" fontId="4"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64" fontId="4" fillId="2" borderId="1" xfId="3"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Border="1" applyAlignment="1">
      <alignment horizontal="center" vertical="center" wrapText="1"/>
    </xf>
    <xf numFmtId="0" fontId="4" fillId="2"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3" borderId="1" xfId="0" applyFont="1" applyFill="1" applyBorder="1" applyAlignment="1">
      <alignment horizontal="justify" vertical="center" wrapText="1"/>
    </xf>
    <xf numFmtId="0" fontId="0" fillId="4" borderId="1" xfId="0" applyFill="1" applyBorder="1" applyAlignment="1">
      <alignment horizontal="center" vertical="center" wrapText="1"/>
    </xf>
    <xf numFmtId="0" fontId="2" fillId="4" borderId="1" xfId="0" applyFont="1" applyFill="1" applyBorder="1" applyAlignment="1">
      <alignment horizontal="center" vertical="center" wrapText="1"/>
    </xf>
    <xf numFmtId="44" fontId="2" fillId="5" borderId="1" xfId="1"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4" borderId="0" xfId="0" applyFill="1" applyAlignment="1">
      <alignment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O122"/>
  <sheetViews>
    <sheetView tabSelected="1" zoomScale="70" zoomScaleNormal="70" workbookViewId="0">
      <pane ySplit="1" topLeftCell="A2" activePane="bottomLeft" state="frozen"/>
      <selection pane="bottomLeft" activeCell="A122" sqref="A122"/>
    </sheetView>
  </sheetViews>
  <sheetFormatPr baseColWidth="10" defaultColWidth="11.42578125" defaultRowHeight="15" x14ac:dyDescent="0.25"/>
  <cols>
    <col min="1" max="1" width="29" style="2" customWidth="1"/>
    <col min="2" max="2" width="19" style="2" customWidth="1"/>
    <col min="3" max="3" width="19.5703125" style="2" customWidth="1"/>
    <col min="4" max="4" width="59.7109375" style="2" bestFit="1" customWidth="1"/>
    <col min="5" max="5" width="17.5703125" style="2" bestFit="1" customWidth="1"/>
    <col min="6" max="6" width="16.28515625" style="2" bestFit="1" customWidth="1"/>
    <col min="7" max="7" width="20.28515625" style="2" bestFit="1" customWidth="1"/>
    <col min="8" max="8" width="23.140625" style="2" customWidth="1"/>
    <col min="9" max="9" width="18.140625" style="2" bestFit="1" customWidth="1"/>
    <col min="10" max="10" width="31.42578125" style="13" bestFit="1" customWidth="1"/>
    <col min="11" max="11" width="23.5703125" style="10" bestFit="1" customWidth="1"/>
    <col min="12" max="12" width="26.7109375" style="10" bestFit="1" customWidth="1"/>
    <col min="13" max="13" width="27.5703125" style="2" bestFit="1" customWidth="1"/>
    <col min="14" max="14" width="25.85546875" style="2" bestFit="1" customWidth="1"/>
    <col min="15" max="15" width="41.140625" style="2" customWidth="1"/>
    <col min="16" max="16" width="16.42578125" style="2" bestFit="1" customWidth="1"/>
    <col min="17" max="16384" width="11.42578125" style="2"/>
  </cols>
  <sheetData>
    <row r="1" spans="1:15" s="34" customFormat="1" ht="30" x14ac:dyDescent="0.25">
      <c r="A1" s="30" t="s">
        <v>7</v>
      </c>
      <c r="B1" s="30" t="s">
        <v>8</v>
      </c>
      <c r="C1" s="31" t="s">
        <v>13</v>
      </c>
      <c r="D1" s="30" t="s">
        <v>0</v>
      </c>
      <c r="E1" s="30" t="s">
        <v>1</v>
      </c>
      <c r="F1" s="30" t="s">
        <v>2</v>
      </c>
      <c r="G1" s="30" t="s">
        <v>3</v>
      </c>
      <c r="H1" s="30" t="s">
        <v>4</v>
      </c>
      <c r="I1" s="30" t="s">
        <v>14</v>
      </c>
      <c r="J1" s="30" t="s">
        <v>5</v>
      </c>
      <c r="K1" s="32" t="s">
        <v>9</v>
      </c>
      <c r="L1" s="30" t="s">
        <v>227</v>
      </c>
      <c r="M1" s="33" t="s">
        <v>10</v>
      </c>
      <c r="N1" s="33" t="s">
        <v>11</v>
      </c>
      <c r="O1" s="33" t="s">
        <v>12</v>
      </c>
    </row>
    <row r="2" spans="1:15" s="7" customFormat="1" ht="90" x14ac:dyDescent="0.25">
      <c r="A2" s="1" t="s">
        <v>224</v>
      </c>
      <c r="B2" s="1">
        <v>900051050</v>
      </c>
      <c r="C2" s="6">
        <v>1</v>
      </c>
      <c r="D2" s="19" t="s">
        <v>225</v>
      </c>
      <c r="E2" s="1" t="s">
        <v>226</v>
      </c>
      <c r="F2" s="15">
        <v>44896</v>
      </c>
      <c r="G2" s="16">
        <v>46234</v>
      </c>
      <c r="H2" s="20">
        <v>13974493158</v>
      </c>
      <c r="I2" s="1"/>
      <c r="J2" s="5">
        <f>8824270938+317254984</f>
        <v>9141525922</v>
      </c>
      <c r="K2" s="8"/>
      <c r="L2" s="1"/>
      <c r="M2" s="11">
        <v>0</v>
      </c>
      <c r="N2" s="12">
        <v>0</v>
      </c>
      <c r="O2" s="3"/>
    </row>
    <row r="3" spans="1:15" s="7" customFormat="1" ht="45" x14ac:dyDescent="0.25">
      <c r="A3" s="1" t="s">
        <v>234</v>
      </c>
      <c r="B3" s="1">
        <v>900459737</v>
      </c>
      <c r="C3" s="25">
        <v>5</v>
      </c>
      <c r="D3" s="1" t="s">
        <v>235</v>
      </c>
      <c r="E3" s="1" t="s">
        <v>236</v>
      </c>
      <c r="F3" s="4">
        <v>45245</v>
      </c>
      <c r="G3" s="4">
        <v>46234</v>
      </c>
      <c r="H3" s="20">
        <v>120893102</v>
      </c>
      <c r="I3" s="1"/>
      <c r="J3" s="5">
        <f>3741126+1522078</f>
        <v>5263204</v>
      </c>
      <c r="K3" s="8"/>
      <c r="L3" s="1"/>
      <c r="M3" s="11">
        <v>0</v>
      </c>
      <c r="N3" s="12">
        <v>0</v>
      </c>
      <c r="O3" s="3"/>
    </row>
    <row r="4" spans="1:15" s="7" customFormat="1" ht="45" x14ac:dyDescent="0.25">
      <c r="A4" s="1" t="s">
        <v>231</v>
      </c>
      <c r="B4" s="1">
        <v>900460759</v>
      </c>
      <c r="C4" s="25">
        <v>9</v>
      </c>
      <c r="D4" s="1" t="s">
        <v>232</v>
      </c>
      <c r="E4" s="1" t="s">
        <v>233</v>
      </c>
      <c r="F4" s="4">
        <v>45276</v>
      </c>
      <c r="G4" s="4">
        <v>45793</v>
      </c>
      <c r="H4" s="20">
        <v>195515787</v>
      </c>
      <c r="I4" s="1"/>
      <c r="J4" s="5">
        <f>5991772+10685517</f>
        <v>16677289</v>
      </c>
      <c r="K4" s="8"/>
      <c r="L4" s="1"/>
      <c r="M4" s="11">
        <v>0</v>
      </c>
      <c r="N4" s="12">
        <v>0</v>
      </c>
      <c r="O4" s="3"/>
    </row>
    <row r="5" spans="1:15" s="7" customFormat="1" ht="30" x14ac:dyDescent="0.25">
      <c r="A5" s="1" t="s">
        <v>370</v>
      </c>
      <c r="B5" s="1">
        <v>800153993</v>
      </c>
      <c r="C5" s="24">
        <v>7</v>
      </c>
      <c r="D5" s="1" t="s">
        <v>371</v>
      </c>
      <c r="E5" s="1" t="s">
        <v>372</v>
      </c>
      <c r="F5" s="27">
        <v>45399</v>
      </c>
      <c r="G5" s="28">
        <v>45792</v>
      </c>
      <c r="H5" s="20">
        <v>99977850</v>
      </c>
      <c r="I5" s="1"/>
      <c r="J5" s="5">
        <v>9335000</v>
      </c>
      <c r="K5" s="8"/>
      <c r="L5" s="1"/>
      <c r="M5" s="11">
        <v>0</v>
      </c>
      <c r="N5" s="12">
        <v>0</v>
      </c>
      <c r="O5" s="3"/>
    </row>
    <row r="6" spans="1:15" s="7" customFormat="1" ht="30" x14ac:dyDescent="0.25">
      <c r="A6" s="1" t="s">
        <v>370</v>
      </c>
      <c r="B6" s="1">
        <v>800153993</v>
      </c>
      <c r="C6" s="24">
        <v>7</v>
      </c>
      <c r="D6" s="29" t="s">
        <v>373</v>
      </c>
      <c r="E6" s="1" t="s">
        <v>369</v>
      </c>
      <c r="F6" s="27">
        <v>45457</v>
      </c>
      <c r="G6" s="28">
        <v>45728</v>
      </c>
      <c r="H6" s="20">
        <v>54723075</v>
      </c>
      <c r="I6" s="1"/>
      <c r="J6" s="5">
        <v>10944614</v>
      </c>
      <c r="K6" s="8"/>
      <c r="L6" s="1"/>
      <c r="M6" s="11">
        <v>0</v>
      </c>
      <c r="N6" s="12">
        <v>0</v>
      </c>
      <c r="O6" s="3"/>
    </row>
    <row r="7" spans="1:15" s="7" customFormat="1" ht="45" x14ac:dyDescent="0.25">
      <c r="A7" s="1" t="s">
        <v>229</v>
      </c>
      <c r="B7" s="1">
        <v>901681580</v>
      </c>
      <c r="C7" s="24">
        <v>1</v>
      </c>
      <c r="D7" s="19" t="s">
        <v>228</v>
      </c>
      <c r="E7" s="1" t="s">
        <v>230</v>
      </c>
      <c r="F7" s="4">
        <v>45622</v>
      </c>
      <c r="G7" s="4">
        <v>45741</v>
      </c>
      <c r="H7" s="20">
        <v>176513861.94</v>
      </c>
      <c r="I7" s="1"/>
      <c r="J7" s="5">
        <f>32419463+41422834</f>
        <v>73842297</v>
      </c>
      <c r="K7" s="8"/>
      <c r="L7" s="1"/>
      <c r="M7" s="11">
        <v>0</v>
      </c>
      <c r="N7" s="12">
        <v>0</v>
      </c>
      <c r="O7" s="3"/>
    </row>
    <row r="8" spans="1:15" ht="75" x14ac:dyDescent="0.25">
      <c r="A8" s="17" t="s">
        <v>15</v>
      </c>
      <c r="B8" s="18">
        <v>1081817848</v>
      </c>
      <c r="C8" s="17">
        <v>1</v>
      </c>
      <c r="D8" s="19" t="s">
        <v>24</v>
      </c>
      <c r="E8" s="17" t="s">
        <v>33</v>
      </c>
      <c r="F8" s="15">
        <v>45679</v>
      </c>
      <c r="G8" s="16">
        <v>45737</v>
      </c>
      <c r="H8" s="20">
        <v>17510000</v>
      </c>
      <c r="I8" s="20">
        <v>8755000</v>
      </c>
      <c r="J8" s="5">
        <f>I8+2626500+6128500</f>
        <v>17510000</v>
      </c>
      <c r="K8" s="9">
        <f>H8-J8</f>
        <v>0</v>
      </c>
      <c r="L8" s="14">
        <f t="shared" ref="L8:L17" si="0">1-(K8/H8)</f>
        <v>1</v>
      </c>
      <c r="M8" s="11">
        <v>0</v>
      </c>
      <c r="N8" s="12">
        <v>0</v>
      </c>
      <c r="O8" s="3"/>
    </row>
    <row r="9" spans="1:15" ht="75" x14ac:dyDescent="0.25">
      <c r="A9" s="17" t="s">
        <v>16</v>
      </c>
      <c r="B9" s="17">
        <v>1032431123</v>
      </c>
      <c r="C9" s="17">
        <v>4</v>
      </c>
      <c r="D9" s="19" t="s">
        <v>25</v>
      </c>
      <c r="E9" s="17" t="s">
        <v>34</v>
      </c>
      <c r="F9" s="15">
        <v>45679</v>
      </c>
      <c r="G9" s="16">
        <v>46022</v>
      </c>
      <c r="H9" s="20">
        <v>128029000</v>
      </c>
      <c r="I9" s="20">
        <v>11330000</v>
      </c>
      <c r="J9" s="5">
        <v>26059000</v>
      </c>
      <c r="K9" s="9">
        <f t="shared" ref="K9:K17" si="1">H9-J9</f>
        <v>101970000</v>
      </c>
      <c r="L9" s="14">
        <f t="shared" si="0"/>
        <v>0.20353982300884954</v>
      </c>
      <c r="M9" s="11">
        <v>0</v>
      </c>
      <c r="N9" s="12">
        <v>0</v>
      </c>
      <c r="O9" s="3"/>
    </row>
    <row r="10" spans="1:15" ht="75" x14ac:dyDescent="0.25">
      <c r="A10" s="17" t="s">
        <v>17</v>
      </c>
      <c r="B10" s="17">
        <v>1018454656</v>
      </c>
      <c r="C10" s="17">
        <v>6</v>
      </c>
      <c r="D10" s="19" t="s">
        <v>26</v>
      </c>
      <c r="E10" s="17" t="s">
        <v>35</v>
      </c>
      <c r="F10" s="15">
        <v>45679</v>
      </c>
      <c r="G10" s="16">
        <v>46022</v>
      </c>
      <c r="H10" s="20">
        <v>120767500</v>
      </c>
      <c r="I10" s="20">
        <v>10815000</v>
      </c>
      <c r="J10" s="5">
        <f>I10+3244500+10815000</f>
        <v>24874500</v>
      </c>
      <c r="K10" s="9">
        <f t="shared" si="1"/>
        <v>95893000</v>
      </c>
      <c r="L10" s="14">
        <f t="shared" si="0"/>
        <v>0.20597014925373136</v>
      </c>
      <c r="M10" s="11">
        <v>0</v>
      </c>
      <c r="N10" s="12">
        <v>0</v>
      </c>
      <c r="O10" s="3"/>
    </row>
    <row r="11" spans="1:15" ht="90" x14ac:dyDescent="0.25">
      <c r="A11" s="17" t="s">
        <v>18</v>
      </c>
      <c r="B11" s="17">
        <v>1100950879</v>
      </c>
      <c r="C11" s="17">
        <v>6</v>
      </c>
      <c r="D11" s="19" t="s">
        <v>27</v>
      </c>
      <c r="E11" s="17" t="s">
        <v>36</v>
      </c>
      <c r="F11" s="15">
        <v>45680</v>
      </c>
      <c r="G11" s="16">
        <v>46022</v>
      </c>
      <c r="H11" s="20">
        <v>98639667</v>
      </c>
      <c r="I11" s="20">
        <v>8755000</v>
      </c>
      <c r="J11" s="5">
        <f>I11+2334667+8755000</f>
        <v>19844667</v>
      </c>
      <c r="K11" s="9">
        <f t="shared" si="1"/>
        <v>78795000</v>
      </c>
      <c r="L11" s="14">
        <f t="shared" si="0"/>
        <v>0.20118343465210609</v>
      </c>
      <c r="M11" s="11">
        <v>0</v>
      </c>
      <c r="N11" s="12">
        <v>0</v>
      </c>
      <c r="O11" s="3"/>
    </row>
    <row r="12" spans="1:15" ht="75" x14ac:dyDescent="0.25">
      <c r="A12" s="17" t="s">
        <v>19</v>
      </c>
      <c r="B12" s="17">
        <v>53106586</v>
      </c>
      <c r="C12" s="17">
        <v>3</v>
      </c>
      <c r="D12" s="19" t="s">
        <v>28</v>
      </c>
      <c r="E12" s="17" t="s">
        <v>37</v>
      </c>
      <c r="F12" s="15">
        <v>45681</v>
      </c>
      <c r="G12" s="16">
        <v>45739</v>
      </c>
      <c r="H12" s="20">
        <v>17510000</v>
      </c>
      <c r="I12" s="20">
        <v>8755000</v>
      </c>
      <c r="J12" s="5">
        <f>I12+2042833</f>
        <v>10797833</v>
      </c>
      <c r="K12" s="9">
        <f t="shared" si="1"/>
        <v>6712167</v>
      </c>
      <c r="L12" s="14">
        <f t="shared" si="0"/>
        <v>0.61666664762992573</v>
      </c>
      <c r="M12" s="11">
        <v>0</v>
      </c>
      <c r="N12" s="12">
        <v>0</v>
      </c>
      <c r="O12" s="3"/>
    </row>
    <row r="13" spans="1:15" ht="75" x14ac:dyDescent="0.25">
      <c r="A13" s="17" t="s">
        <v>20</v>
      </c>
      <c r="B13" s="17">
        <v>52786047</v>
      </c>
      <c r="C13" s="17">
        <v>8</v>
      </c>
      <c r="D13" s="19" t="s">
        <v>29</v>
      </c>
      <c r="E13" s="17" t="s">
        <v>38</v>
      </c>
      <c r="F13" s="15">
        <v>45684</v>
      </c>
      <c r="G13" s="16">
        <v>45742</v>
      </c>
      <c r="H13" s="20">
        <v>17510000</v>
      </c>
      <c r="I13" s="20">
        <v>8755000</v>
      </c>
      <c r="J13" s="5">
        <f>I13+1167333+7587667</f>
        <v>17510000</v>
      </c>
      <c r="K13" s="9">
        <f t="shared" si="1"/>
        <v>0</v>
      </c>
      <c r="L13" s="14">
        <f t="shared" si="0"/>
        <v>1</v>
      </c>
      <c r="M13" s="11">
        <v>0</v>
      </c>
      <c r="N13" s="12">
        <v>0</v>
      </c>
      <c r="O13" s="3"/>
    </row>
    <row r="14" spans="1:15" ht="105" x14ac:dyDescent="0.25">
      <c r="A14" s="17" t="s">
        <v>21</v>
      </c>
      <c r="B14" s="17">
        <v>1110534895</v>
      </c>
      <c r="C14" s="17">
        <v>7</v>
      </c>
      <c r="D14" s="19" t="s">
        <v>30</v>
      </c>
      <c r="E14" s="17" t="s">
        <v>39</v>
      </c>
      <c r="F14" s="15">
        <v>45685</v>
      </c>
      <c r="G14" s="16">
        <v>45988</v>
      </c>
      <c r="H14" s="20">
        <v>82400000</v>
      </c>
      <c r="I14" s="20">
        <v>8240000</v>
      </c>
      <c r="J14" s="5">
        <f>I14+824000+8240000</f>
        <v>17304000</v>
      </c>
      <c r="K14" s="9">
        <f>H14-J14+8240000</f>
        <v>73336000</v>
      </c>
      <c r="L14" s="14">
        <f t="shared" si="0"/>
        <v>0.10999999999999999</v>
      </c>
      <c r="M14" s="11">
        <v>0</v>
      </c>
      <c r="N14" s="12">
        <v>0</v>
      </c>
      <c r="O14" s="3"/>
    </row>
    <row r="15" spans="1:15" ht="60" x14ac:dyDescent="0.25">
      <c r="A15" s="17" t="s">
        <v>42</v>
      </c>
      <c r="B15" s="17">
        <v>830001113</v>
      </c>
      <c r="C15" s="17">
        <v>1</v>
      </c>
      <c r="D15" s="19" t="s">
        <v>43</v>
      </c>
      <c r="E15" s="17" t="s">
        <v>44</v>
      </c>
      <c r="F15" s="15">
        <v>45691</v>
      </c>
      <c r="G15" s="16">
        <v>46022</v>
      </c>
      <c r="H15" s="20">
        <v>25000000</v>
      </c>
      <c r="I15" s="20">
        <v>25000000</v>
      </c>
      <c r="J15" s="5">
        <v>6485100</v>
      </c>
      <c r="K15" s="9">
        <f t="shared" si="1"/>
        <v>18514900</v>
      </c>
      <c r="L15" s="14">
        <f t="shared" si="0"/>
        <v>0.25940399999999997</v>
      </c>
      <c r="M15" s="11">
        <v>0</v>
      </c>
      <c r="N15" s="12">
        <v>0</v>
      </c>
      <c r="O15" s="3"/>
    </row>
    <row r="16" spans="1:15" ht="75" x14ac:dyDescent="0.25">
      <c r="A16" s="17" t="s">
        <v>22</v>
      </c>
      <c r="B16" s="17">
        <v>1055228274</v>
      </c>
      <c r="C16" s="17">
        <v>2</v>
      </c>
      <c r="D16" s="19" t="s">
        <v>31</v>
      </c>
      <c r="E16" s="17" t="s">
        <v>40</v>
      </c>
      <c r="F16" s="15">
        <v>45687</v>
      </c>
      <c r="G16" s="16">
        <v>45745</v>
      </c>
      <c r="H16" s="20">
        <v>12360000</v>
      </c>
      <c r="I16" s="20">
        <v>6180000</v>
      </c>
      <c r="J16" s="5">
        <f>206000+6180000+5974000</f>
        <v>12360000</v>
      </c>
      <c r="K16" s="9">
        <f t="shared" si="1"/>
        <v>0</v>
      </c>
      <c r="L16" s="14">
        <f t="shared" si="0"/>
        <v>1</v>
      </c>
      <c r="M16" s="11">
        <v>0</v>
      </c>
      <c r="N16" s="12">
        <v>0</v>
      </c>
      <c r="O16" s="3"/>
    </row>
    <row r="17" spans="1:15" ht="90" x14ac:dyDescent="0.25">
      <c r="A17" s="17" t="s">
        <v>23</v>
      </c>
      <c r="B17" s="17">
        <v>79443118</v>
      </c>
      <c r="C17" s="17">
        <v>9</v>
      </c>
      <c r="D17" s="19" t="s">
        <v>32</v>
      </c>
      <c r="E17" s="17" t="s">
        <v>41</v>
      </c>
      <c r="F17" s="15">
        <v>45687</v>
      </c>
      <c r="G17" s="16">
        <v>45745</v>
      </c>
      <c r="H17" s="20">
        <v>16480000</v>
      </c>
      <c r="I17" s="20">
        <v>8240000</v>
      </c>
      <c r="J17" s="5">
        <f>274667+I17+7965333</f>
        <v>16480000</v>
      </c>
      <c r="K17" s="9">
        <f t="shared" si="1"/>
        <v>0</v>
      </c>
      <c r="L17" s="14">
        <f t="shared" si="0"/>
        <v>1</v>
      </c>
      <c r="M17" s="11">
        <v>0</v>
      </c>
      <c r="N17" s="12">
        <v>0</v>
      </c>
      <c r="O17" s="3"/>
    </row>
    <row r="18" spans="1:15" ht="60" x14ac:dyDescent="0.25">
      <c r="A18" s="21" t="s">
        <v>105</v>
      </c>
      <c r="B18" s="17">
        <v>35529449</v>
      </c>
      <c r="C18" s="17">
        <v>2</v>
      </c>
      <c r="D18" s="19" t="s">
        <v>164</v>
      </c>
      <c r="E18" s="17" t="s">
        <v>45</v>
      </c>
      <c r="F18" s="15">
        <v>45693</v>
      </c>
      <c r="G18" s="16">
        <v>45751</v>
      </c>
      <c r="H18" s="20">
        <v>17510000</v>
      </c>
      <c r="I18" s="20">
        <v>8755000</v>
      </c>
      <c r="J18" s="5">
        <f>7587667+9922333</f>
        <v>17510000</v>
      </c>
      <c r="K18" s="9">
        <f t="shared" ref="K18:K78" si="2">H18-J18</f>
        <v>0</v>
      </c>
      <c r="L18" s="14">
        <f t="shared" ref="L18:L78" si="3">1-(K18/H18)</f>
        <v>1</v>
      </c>
      <c r="M18" s="11">
        <v>0</v>
      </c>
      <c r="N18" s="12">
        <v>0</v>
      </c>
      <c r="O18" s="3"/>
    </row>
    <row r="19" spans="1:15" ht="135" x14ac:dyDescent="0.25">
      <c r="A19" s="22" t="s">
        <v>106</v>
      </c>
      <c r="B19" s="17">
        <v>52219533</v>
      </c>
      <c r="C19" s="17">
        <v>5</v>
      </c>
      <c r="D19" s="19" t="s">
        <v>165</v>
      </c>
      <c r="E19" s="17" t="s">
        <v>46</v>
      </c>
      <c r="F19" s="15">
        <v>45694</v>
      </c>
      <c r="G19" s="16">
        <v>45752</v>
      </c>
      <c r="H19" s="20">
        <v>18746000</v>
      </c>
      <c r="I19" s="20">
        <v>9373000</v>
      </c>
      <c r="J19" s="5">
        <f>7810833+10935167</f>
        <v>18746000</v>
      </c>
      <c r="K19" s="9">
        <f>H19-J19</f>
        <v>0</v>
      </c>
      <c r="L19" s="14">
        <f t="shared" si="3"/>
        <v>1</v>
      </c>
      <c r="M19" s="11">
        <v>0</v>
      </c>
      <c r="N19" s="12">
        <v>0</v>
      </c>
      <c r="O19" s="3"/>
    </row>
    <row r="20" spans="1:15" ht="120" x14ac:dyDescent="0.25">
      <c r="A20" s="22" t="s">
        <v>107</v>
      </c>
      <c r="B20" s="17">
        <v>46373026</v>
      </c>
      <c r="C20" s="17">
        <v>9</v>
      </c>
      <c r="D20" s="19" t="s">
        <v>166</v>
      </c>
      <c r="E20" s="17" t="s">
        <v>47</v>
      </c>
      <c r="F20" s="15">
        <v>45694</v>
      </c>
      <c r="G20" s="16">
        <v>45752</v>
      </c>
      <c r="H20" s="20">
        <v>18746000</v>
      </c>
      <c r="I20" s="20">
        <v>9373000</v>
      </c>
      <c r="J20" s="5">
        <f>7810833+9373000</f>
        <v>17183833</v>
      </c>
      <c r="K20" s="9">
        <f t="shared" si="2"/>
        <v>1562167</v>
      </c>
      <c r="L20" s="14">
        <f t="shared" si="3"/>
        <v>0.91666664888509553</v>
      </c>
      <c r="M20" s="11">
        <v>0</v>
      </c>
      <c r="N20" s="12">
        <v>0</v>
      </c>
      <c r="O20" s="3"/>
    </row>
    <row r="21" spans="1:15" ht="90" x14ac:dyDescent="0.25">
      <c r="A21" s="22" t="s">
        <v>108</v>
      </c>
      <c r="B21" s="17">
        <v>34568513</v>
      </c>
      <c r="C21" s="17">
        <v>9</v>
      </c>
      <c r="D21" s="19" t="s">
        <v>167</v>
      </c>
      <c r="E21" s="17" t="s">
        <v>48</v>
      </c>
      <c r="F21" s="15">
        <v>45695</v>
      </c>
      <c r="G21" s="16">
        <v>45753</v>
      </c>
      <c r="H21" s="20">
        <v>18746000</v>
      </c>
      <c r="I21" s="20">
        <v>9373000</v>
      </c>
      <c r="J21" s="5">
        <f>7498400+9373000</f>
        <v>16871400</v>
      </c>
      <c r="K21" s="9">
        <f t="shared" si="2"/>
        <v>1874600</v>
      </c>
      <c r="L21" s="14">
        <f t="shared" si="3"/>
        <v>0.9</v>
      </c>
      <c r="M21" s="11">
        <v>0</v>
      </c>
      <c r="N21" s="12">
        <v>0</v>
      </c>
      <c r="O21" s="3"/>
    </row>
    <row r="22" spans="1:15" ht="90" x14ac:dyDescent="0.25">
      <c r="A22" s="22" t="s">
        <v>109</v>
      </c>
      <c r="B22" s="17">
        <v>52265179</v>
      </c>
      <c r="C22" s="17">
        <v>6</v>
      </c>
      <c r="D22" s="19" t="s">
        <v>168</v>
      </c>
      <c r="E22" s="17" t="s">
        <v>49</v>
      </c>
      <c r="F22" s="15">
        <v>45698</v>
      </c>
      <c r="G22" s="16">
        <v>45756</v>
      </c>
      <c r="H22" s="20">
        <v>15450000</v>
      </c>
      <c r="I22" s="20">
        <v>7725000</v>
      </c>
      <c r="J22" s="5">
        <f>5407500+7725000</f>
        <v>13132500</v>
      </c>
      <c r="K22" s="9">
        <f t="shared" si="2"/>
        <v>2317500</v>
      </c>
      <c r="L22" s="14">
        <f t="shared" si="3"/>
        <v>0.85</v>
      </c>
      <c r="M22" s="11">
        <v>0</v>
      </c>
      <c r="N22" s="12">
        <v>0</v>
      </c>
      <c r="O22" s="3"/>
    </row>
    <row r="23" spans="1:15" ht="120" x14ac:dyDescent="0.25">
      <c r="A23" s="22" t="s">
        <v>110</v>
      </c>
      <c r="B23" s="17">
        <v>1082933510</v>
      </c>
      <c r="C23" s="17">
        <v>8</v>
      </c>
      <c r="D23" s="19" t="s">
        <v>169</v>
      </c>
      <c r="E23" s="17" t="s">
        <v>50</v>
      </c>
      <c r="F23" s="15">
        <v>45698</v>
      </c>
      <c r="G23" s="16">
        <v>45756</v>
      </c>
      <c r="H23" s="20">
        <v>18746000</v>
      </c>
      <c r="I23" s="20">
        <v>9373000</v>
      </c>
      <c r="J23" s="5">
        <f>6561100+9373000</f>
        <v>15934100</v>
      </c>
      <c r="K23" s="9">
        <f t="shared" si="2"/>
        <v>2811900</v>
      </c>
      <c r="L23" s="14">
        <f t="shared" si="3"/>
        <v>0.85</v>
      </c>
      <c r="M23" s="11">
        <v>0</v>
      </c>
      <c r="N23" s="12">
        <v>0</v>
      </c>
      <c r="O23" s="3"/>
    </row>
    <row r="24" spans="1:15" ht="60" x14ac:dyDescent="0.25">
      <c r="A24" s="22" t="s">
        <v>111</v>
      </c>
      <c r="B24" s="17">
        <v>1018413612</v>
      </c>
      <c r="C24" s="17">
        <v>7</v>
      </c>
      <c r="D24" s="19" t="s">
        <v>170</v>
      </c>
      <c r="E24" s="17" t="s">
        <v>51</v>
      </c>
      <c r="F24" s="15">
        <v>45695</v>
      </c>
      <c r="G24" s="15">
        <v>45747</v>
      </c>
      <c r="H24" s="20">
        <v>16480000</v>
      </c>
      <c r="I24" s="20">
        <v>8240000</v>
      </c>
      <c r="J24" s="5">
        <f>6592000+8240000</f>
        <v>14832000</v>
      </c>
      <c r="K24" s="9">
        <f t="shared" si="2"/>
        <v>1648000</v>
      </c>
      <c r="L24" s="14">
        <f t="shared" si="3"/>
        <v>0.9</v>
      </c>
      <c r="M24" s="11">
        <v>0</v>
      </c>
      <c r="N24" s="12">
        <v>0</v>
      </c>
      <c r="O24" s="3"/>
    </row>
    <row r="25" spans="1:15" ht="60" x14ac:dyDescent="0.25">
      <c r="A25" s="22" t="s">
        <v>112</v>
      </c>
      <c r="B25" s="17">
        <v>1098616302</v>
      </c>
      <c r="C25" s="17">
        <v>1</v>
      </c>
      <c r="D25" s="19" t="s">
        <v>171</v>
      </c>
      <c r="E25" s="17" t="s">
        <v>52</v>
      </c>
      <c r="F25" s="15">
        <v>45698</v>
      </c>
      <c r="G25" s="16">
        <v>46020</v>
      </c>
      <c r="H25" s="20">
        <v>87893333</v>
      </c>
      <c r="I25" s="20">
        <v>8240000</v>
      </c>
      <c r="J25" s="5">
        <f>5768000+8240000</f>
        <v>14008000</v>
      </c>
      <c r="K25" s="9">
        <f t="shared" si="2"/>
        <v>73885333</v>
      </c>
      <c r="L25" s="14">
        <f t="shared" si="3"/>
        <v>0.15937500060442578</v>
      </c>
      <c r="M25" s="11">
        <v>0</v>
      </c>
      <c r="N25" s="12">
        <v>0</v>
      </c>
      <c r="O25" s="3"/>
    </row>
    <row r="26" spans="1:15" ht="60" x14ac:dyDescent="0.25">
      <c r="A26" s="22" t="s">
        <v>113</v>
      </c>
      <c r="B26" s="17">
        <v>1030700108</v>
      </c>
      <c r="C26" s="17">
        <v>0</v>
      </c>
      <c r="D26" s="19" t="s">
        <v>172</v>
      </c>
      <c r="E26" s="17" t="s">
        <v>53</v>
      </c>
      <c r="F26" s="15">
        <v>45712</v>
      </c>
      <c r="G26" s="16">
        <v>45800</v>
      </c>
      <c r="H26" s="20">
        <v>9900000</v>
      </c>
      <c r="I26" s="20">
        <v>3300000</v>
      </c>
      <c r="J26" s="5">
        <f>770000+3300000</f>
        <v>4070000</v>
      </c>
      <c r="K26" s="9">
        <f t="shared" si="2"/>
        <v>5830000</v>
      </c>
      <c r="L26" s="14">
        <f t="shared" si="3"/>
        <v>0.41111111111111109</v>
      </c>
      <c r="M26" s="11">
        <v>0</v>
      </c>
      <c r="N26" s="12">
        <v>0</v>
      </c>
      <c r="O26" s="3"/>
    </row>
    <row r="27" spans="1:15" ht="105" x14ac:dyDescent="0.25">
      <c r="A27" s="22" t="s">
        <v>114</v>
      </c>
      <c r="B27" s="17">
        <v>52538558</v>
      </c>
      <c r="C27" s="17">
        <v>7</v>
      </c>
      <c r="D27" s="19" t="s">
        <v>173</v>
      </c>
      <c r="E27" s="17" t="s">
        <v>54</v>
      </c>
      <c r="F27" s="15">
        <v>45702</v>
      </c>
      <c r="G27" s="16">
        <v>45760</v>
      </c>
      <c r="H27" s="20">
        <v>18746000</v>
      </c>
      <c r="I27" s="20">
        <v>9373000</v>
      </c>
      <c r="J27" s="5">
        <f>6248667+12497333</f>
        <v>18746000</v>
      </c>
      <c r="K27" s="9">
        <f t="shared" si="2"/>
        <v>0</v>
      </c>
      <c r="L27" s="14">
        <f t="shared" si="3"/>
        <v>1</v>
      </c>
      <c r="M27" s="11">
        <v>0</v>
      </c>
      <c r="N27" s="12">
        <v>0</v>
      </c>
      <c r="O27" s="3"/>
    </row>
    <row r="28" spans="1:15" ht="75" x14ac:dyDescent="0.25">
      <c r="A28" s="22" t="s">
        <v>115</v>
      </c>
      <c r="B28" s="17">
        <v>15443887</v>
      </c>
      <c r="C28" s="17">
        <v>1</v>
      </c>
      <c r="D28" s="19" t="s">
        <v>174</v>
      </c>
      <c r="E28" s="17" t="s">
        <v>55</v>
      </c>
      <c r="F28" s="15">
        <v>45699</v>
      </c>
      <c r="G28" s="16">
        <v>45848</v>
      </c>
      <c r="H28" s="20">
        <v>36050000</v>
      </c>
      <c r="I28" s="20">
        <v>7210000</v>
      </c>
      <c r="J28" s="5">
        <v>4806666</v>
      </c>
      <c r="K28" s="9">
        <f t="shared" si="2"/>
        <v>31243334</v>
      </c>
      <c r="L28" s="14">
        <f t="shared" si="3"/>
        <v>0.13333331484049926</v>
      </c>
      <c r="M28" s="11">
        <v>0</v>
      </c>
      <c r="N28" s="12">
        <v>0</v>
      </c>
      <c r="O28" s="3"/>
    </row>
    <row r="29" spans="1:15" ht="60" x14ac:dyDescent="0.25">
      <c r="A29" s="22" t="s">
        <v>6</v>
      </c>
      <c r="B29" s="17">
        <v>1013688295</v>
      </c>
      <c r="C29" s="17">
        <v>7</v>
      </c>
      <c r="D29" s="19" t="s">
        <v>175</v>
      </c>
      <c r="E29" s="17" t="s">
        <v>56</v>
      </c>
      <c r="F29" s="15">
        <v>45699</v>
      </c>
      <c r="G29" s="16">
        <v>45757</v>
      </c>
      <c r="H29" s="20">
        <v>5850400</v>
      </c>
      <c r="I29" s="20">
        <v>2925200</v>
      </c>
      <c r="J29" s="5">
        <f>1950133+3900267</f>
        <v>5850400</v>
      </c>
      <c r="K29" s="9">
        <f t="shared" si="2"/>
        <v>0</v>
      </c>
      <c r="L29" s="14">
        <f t="shared" si="3"/>
        <v>1</v>
      </c>
      <c r="M29" s="11">
        <v>0</v>
      </c>
      <c r="N29" s="12">
        <v>0</v>
      </c>
      <c r="O29" s="3"/>
    </row>
    <row r="30" spans="1:15" ht="105" x14ac:dyDescent="0.25">
      <c r="A30" s="22" t="s">
        <v>116</v>
      </c>
      <c r="B30" s="17">
        <v>1095823766</v>
      </c>
      <c r="C30" s="17">
        <v>1</v>
      </c>
      <c r="D30" s="19" t="s">
        <v>176</v>
      </c>
      <c r="E30" s="17" t="s">
        <v>57</v>
      </c>
      <c r="F30" s="15">
        <v>45699</v>
      </c>
      <c r="G30" s="16">
        <v>46022</v>
      </c>
      <c r="H30" s="20">
        <v>99978667</v>
      </c>
      <c r="I30" s="20">
        <v>9370071.883786317</v>
      </c>
      <c r="J30" s="5">
        <v>6248667</v>
      </c>
      <c r="K30" s="9">
        <f t="shared" si="2"/>
        <v>93730000</v>
      </c>
      <c r="L30" s="14">
        <f t="shared" si="3"/>
        <v>6.2500003125666836E-2</v>
      </c>
      <c r="M30" s="11">
        <v>0</v>
      </c>
      <c r="N30" s="12">
        <v>0</v>
      </c>
      <c r="O30" s="3"/>
    </row>
    <row r="31" spans="1:15" ht="60" x14ac:dyDescent="0.25">
      <c r="A31" s="22" t="s">
        <v>117</v>
      </c>
      <c r="B31" s="17">
        <v>1020816603</v>
      </c>
      <c r="C31" s="17">
        <v>8</v>
      </c>
      <c r="D31" s="19" t="s">
        <v>177</v>
      </c>
      <c r="E31" s="17" t="s">
        <v>58</v>
      </c>
      <c r="F31" s="15">
        <v>45699</v>
      </c>
      <c r="G31" s="16">
        <v>45787</v>
      </c>
      <c r="H31" s="20">
        <v>13905000</v>
      </c>
      <c r="I31" s="20">
        <v>4635000</v>
      </c>
      <c r="J31" s="5">
        <f>3090000+4635000</f>
        <v>7725000</v>
      </c>
      <c r="K31" s="9">
        <f t="shared" si="2"/>
        <v>6180000</v>
      </c>
      <c r="L31" s="14">
        <f t="shared" si="3"/>
        <v>0.55555555555555558</v>
      </c>
      <c r="M31" s="11">
        <v>0</v>
      </c>
      <c r="N31" s="12">
        <v>0</v>
      </c>
      <c r="O31" s="3"/>
    </row>
    <row r="32" spans="1:15" ht="105" x14ac:dyDescent="0.25">
      <c r="A32" s="22" t="s">
        <v>118</v>
      </c>
      <c r="B32" s="17">
        <v>1072662456</v>
      </c>
      <c r="C32" s="17">
        <v>8</v>
      </c>
      <c r="D32" s="19" t="s">
        <v>178</v>
      </c>
      <c r="E32" s="17" t="s">
        <v>59</v>
      </c>
      <c r="F32" s="15">
        <v>45702</v>
      </c>
      <c r="G32" s="16">
        <v>45760</v>
      </c>
      <c r="H32" s="20">
        <v>16480000</v>
      </c>
      <c r="I32" s="20">
        <v>8240000</v>
      </c>
      <c r="J32" s="5">
        <f>3845333+8240000</f>
        <v>12085333</v>
      </c>
      <c r="K32" s="9">
        <f t="shared" si="2"/>
        <v>4394667</v>
      </c>
      <c r="L32" s="14">
        <f t="shared" si="3"/>
        <v>0.73333331310679606</v>
      </c>
      <c r="M32" s="11">
        <v>0</v>
      </c>
      <c r="N32" s="12">
        <v>0</v>
      </c>
      <c r="O32" s="3"/>
    </row>
    <row r="33" spans="1:15" ht="90" x14ac:dyDescent="0.25">
      <c r="A33" s="22" t="s">
        <v>119</v>
      </c>
      <c r="B33" s="17">
        <v>1010215529</v>
      </c>
      <c r="C33" s="17">
        <v>5</v>
      </c>
      <c r="D33" s="19" t="s">
        <v>179</v>
      </c>
      <c r="E33" s="17" t="s">
        <v>60</v>
      </c>
      <c r="F33" s="15">
        <v>45699</v>
      </c>
      <c r="G33" s="16">
        <v>45757</v>
      </c>
      <c r="H33" s="20">
        <v>17510000</v>
      </c>
      <c r="I33" s="20">
        <v>8755000</v>
      </c>
      <c r="J33" s="5">
        <v>5835557</v>
      </c>
      <c r="K33" s="9">
        <f t="shared" si="2"/>
        <v>11674443</v>
      </c>
      <c r="L33" s="14">
        <f t="shared" si="3"/>
        <v>0.33326996002284404</v>
      </c>
      <c r="M33" s="11">
        <v>0</v>
      </c>
      <c r="N33" s="12">
        <v>0</v>
      </c>
      <c r="O33" s="3"/>
    </row>
    <row r="34" spans="1:15" ht="90" x14ac:dyDescent="0.25">
      <c r="A34" s="22" t="s">
        <v>120</v>
      </c>
      <c r="B34" s="17">
        <v>72260721</v>
      </c>
      <c r="C34" s="17">
        <v>9</v>
      </c>
      <c r="D34" s="19" t="s">
        <v>180</v>
      </c>
      <c r="E34" s="17" t="s">
        <v>61</v>
      </c>
      <c r="F34" s="15">
        <v>45699</v>
      </c>
      <c r="G34" s="16">
        <v>45787</v>
      </c>
      <c r="H34" s="20">
        <v>26265000</v>
      </c>
      <c r="I34" s="20">
        <v>8755000</v>
      </c>
      <c r="J34" s="5">
        <f>5836667+8755000</f>
        <v>14591667</v>
      </c>
      <c r="K34" s="9">
        <f t="shared" si="2"/>
        <v>11673333</v>
      </c>
      <c r="L34" s="14">
        <f t="shared" si="3"/>
        <v>0.55555556824671615</v>
      </c>
      <c r="M34" s="11">
        <v>0</v>
      </c>
      <c r="N34" s="12">
        <v>0</v>
      </c>
      <c r="O34" s="3"/>
    </row>
    <row r="35" spans="1:15" ht="60" x14ac:dyDescent="0.25">
      <c r="A35" s="22" t="s">
        <v>121</v>
      </c>
      <c r="B35" s="17">
        <v>1020802607</v>
      </c>
      <c r="C35" s="17">
        <v>6</v>
      </c>
      <c r="D35" s="19" t="s">
        <v>181</v>
      </c>
      <c r="E35" s="17" t="s">
        <v>62</v>
      </c>
      <c r="F35" s="15">
        <v>45699</v>
      </c>
      <c r="G35" s="16">
        <v>45787</v>
      </c>
      <c r="H35" s="20">
        <v>18540000</v>
      </c>
      <c r="I35" s="20">
        <v>6180000</v>
      </c>
      <c r="J35" s="5">
        <v>4120000</v>
      </c>
      <c r="K35" s="9">
        <f t="shared" si="2"/>
        <v>14420000</v>
      </c>
      <c r="L35" s="14">
        <f t="shared" si="3"/>
        <v>0.22222222222222221</v>
      </c>
      <c r="M35" s="11">
        <v>0</v>
      </c>
      <c r="N35" s="12">
        <v>0</v>
      </c>
      <c r="O35" s="3"/>
    </row>
    <row r="36" spans="1:15" ht="60" x14ac:dyDescent="0.25">
      <c r="A36" s="22" t="s">
        <v>122</v>
      </c>
      <c r="B36" s="17">
        <v>1098821595</v>
      </c>
      <c r="C36" s="17">
        <v>0</v>
      </c>
      <c r="D36" s="19" t="s">
        <v>182</v>
      </c>
      <c r="E36" s="17" t="s">
        <v>63</v>
      </c>
      <c r="F36" s="15">
        <v>45699</v>
      </c>
      <c r="G36" s="16">
        <v>45787</v>
      </c>
      <c r="H36" s="20">
        <v>15450000</v>
      </c>
      <c r="I36" s="20">
        <v>5150000</v>
      </c>
      <c r="J36" s="5">
        <v>3433333</v>
      </c>
      <c r="K36" s="9">
        <f t="shared" si="2"/>
        <v>12016667</v>
      </c>
      <c r="L36" s="14">
        <f t="shared" si="3"/>
        <v>0.22222220064724918</v>
      </c>
      <c r="M36" s="11">
        <v>0</v>
      </c>
      <c r="N36" s="12">
        <v>0</v>
      </c>
      <c r="O36" s="3"/>
    </row>
    <row r="37" spans="1:15" ht="60" x14ac:dyDescent="0.25">
      <c r="A37" s="22" t="s">
        <v>123</v>
      </c>
      <c r="B37" s="17">
        <v>52708089</v>
      </c>
      <c r="C37" s="17">
        <v>4</v>
      </c>
      <c r="D37" s="19" t="s">
        <v>183</v>
      </c>
      <c r="E37" s="17" t="s">
        <v>64</v>
      </c>
      <c r="F37" s="15">
        <v>45699</v>
      </c>
      <c r="G37" s="16">
        <v>45787</v>
      </c>
      <c r="H37" s="20">
        <v>26265000</v>
      </c>
      <c r="I37" s="20">
        <v>8755000</v>
      </c>
      <c r="J37" s="5">
        <v>5836667</v>
      </c>
      <c r="K37" s="9">
        <f t="shared" si="2"/>
        <v>20428333</v>
      </c>
      <c r="L37" s="14">
        <f t="shared" si="3"/>
        <v>0.22222223491338278</v>
      </c>
      <c r="M37" s="11">
        <v>0</v>
      </c>
      <c r="N37" s="12">
        <v>0</v>
      </c>
      <c r="O37" s="3"/>
    </row>
    <row r="38" spans="1:15" ht="60" x14ac:dyDescent="0.25">
      <c r="A38" s="22" t="s">
        <v>124</v>
      </c>
      <c r="B38" s="17">
        <v>1054990700</v>
      </c>
      <c r="C38" s="17">
        <v>1</v>
      </c>
      <c r="D38" s="19" t="s">
        <v>184</v>
      </c>
      <c r="E38" s="17" t="s">
        <v>65</v>
      </c>
      <c r="F38" s="15">
        <v>45699</v>
      </c>
      <c r="G38" s="16">
        <v>46022</v>
      </c>
      <c r="H38" s="20">
        <v>87893333</v>
      </c>
      <c r="I38" s="20">
        <v>8240000</v>
      </c>
      <c r="J38" s="5">
        <f>5493333+8240000</f>
        <v>13733333</v>
      </c>
      <c r="K38" s="9">
        <f t="shared" si="2"/>
        <v>74160000</v>
      </c>
      <c r="L38" s="14">
        <f t="shared" si="3"/>
        <v>0.15624999680009855</v>
      </c>
      <c r="M38" s="11">
        <v>0</v>
      </c>
      <c r="N38" s="12">
        <v>0</v>
      </c>
      <c r="O38" s="3"/>
    </row>
    <row r="39" spans="1:15" ht="60" x14ac:dyDescent="0.25">
      <c r="A39" s="22" t="s">
        <v>125</v>
      </c>
      <c r="B39" s="17">
        <v>1100950750</v>
      </c>
      <c r="C39" s="17">
        <v>5</v>
      </c>
      <c r="D39" s="19" t="s">
        <v>185</v>
      </c>
      <c r="E39" s="17" t="s">
        <v>66</v>
      </c>
      <c r="F39" s="15">
        <v>45699</v>
      </c>
      <c r="G39" s="16">
        <v>45787</v>
      </c>
      <c r="H39" s="20">
        <v>23175000</v>
      </c>
      <c r="I39" s="20">
        <v>7725000</v>
      </c>
      <c r="J39" s="5">
        <f>5150000+7725000</f>
        <v>12875000</v>
      </c>
      <c r="K39" s="9">
        <f t="shared" si="2"/>
        <v>10300000</v>
      </c>
      <c r="L39" s="14">
        <f t="shared" si="3"/>
        <v>0.55555555555555558</v>
      </c>
      <c r="M39" s="11">
        <v>0</v>
      </c>
      <c r="N39" s="12">
        <v>0</v>
      </c>
      <c r="O39" s="3"/>
    </row>
    <row r="40" spans="1:15" ht="60" x14ac:dyDescent="0.25">
      <c r="A40" s="22" t="s">
        <v>126</v>
      </c>
      <c r="B40" s="17">
        <v>1020822526</v>
      </c>
      <c r="C40" s="17">
        <v>3</v>
      </c>
      <c r="D40" s="19" t="s">
        <v>186</v>
      </c>
      <c r="E40" s="17" t="s">
        <v>67</v>
      </c>
      <c r="F40" s="15">
        <v>45699</v>
      </c>
      <c r="G40" s="16">
        <v>45757</v>
      </c>
      <c r="H40" s="20">
        <v>9270000</v>
      </c>
      <c r="I40" s="20">
        <v>4635000</v>
      </c>
      <c r="J40" s="5">
        <f>3090000+4635000</f>
        <v>7725000</v>
      </c>
      <c r="K40" s="9">
        <f t="shared" si="2"/>
        <v>1545000</v>
      </c>
      <c r="L40" s="14">
        <f t="shared" si="3"/>
        <v>0.83333333333333337</v>
      </c>
      <c r="M40" s="11">
        <v>0</v>
      </c>
      <c r="N40" s="12">
        <v>0</v>
      </c>
      <c r="O40" s="3"/>
    </row>
    <row r="41" spans="1:15" ht="105" x14ac:dyDescent="0.25">
      <c r="A41" s="22" t="s">
        <v>127</v>
      </c>
      <c r="B41" s="17">
        <v>1140864226</v>
      </c>
      <c r="C41" s="17">
        <v>4</v>
      </c>
      <c r="D41" s="19" t="s">
        <v>187</v>
      </c>
      <c r="E41" s="17" t="s">
        <v>68</v>
      </c>
      <c r="F41" s="15">
        <v>45700</v>
      </c>
      <c r="G41" s="16">
        <v>45758</v>
      </c>
      <c r="H41" s="20">
        <v>16480000</v>
      </c>
      <c r="I41" s="20">
        <v>8240000</v>
      </c>
      <c r="J41" s="5">
        <f>5218667+8240000</f>
        <v>13458667</v>
      </c>
      <c r="K41" s="9">
        <f t="shared" si="2"/>
        <v>3021333</v>
      </c>
      <c r="L41" s="14">
        <f t="shared" si="3"/>
        <v>0.81666668689320387</v>
      </c>
      <c r="M41" s="11">
        <v>0</v>
      </c>
      <c r="N41" s="12">
        <v>0</v>
      </c>
      <c r="O41" s="3"/>
    </row>
    <row r="42" spans="1:15" ht="75" x14ac:dyDescent="0.25">
      <c r="A42" s="22" t="s">
        <v>128</v>
      </c>
      <c r="B42" s="17">
        <v>1033738130</v>
      </c>
      <c r="C42" s="17">
        <v>9</v>
      </c>
      <c r="D42" s="19" t="s">
        <v>188</v>
      </c>
      <c r="E42" s="17" t="s">
        <v>69</v>
      </c>
      <c r="F42" s="15">
        <v>45701</v>
      </c>
      <c r="G42" s="16">
        <v>45759</v>
      </c>
      <c r="H42" s="20">
        <v>16480000</v>
      </c>
      <c r="I42" s="20">
        <v>8240000</v>
      </c>
      <c r="J42" s="5">
        <f>4944000+11536000</f>
        <v>16480000</v>
      </c>
      <c r="K42" s="9">
        <f t="shared" si="2"/>
        <v>0</v>
      </c>
      <c r="L42" s="14">
        <f t="shared" si="3"/>
        <v>1</v>
      </c>
      <c r="M42" s="11">
        <v>0</v>
      </c>
      <c r="N42" s="12">
        <v>0</v>
      </c>
      <c r="O42" s="3"/>
    </row>
    <row r="43" spans="1:15" ht="60" x14ac:dyDescent="0.25">
      <c r="A43" s="22" t="s">
        <v>129</v>
      </c>
      <c r="B43" s="17">
        <v>79280777</v>
      </c>
      <c r="C43" s="17">
        <v>1</v>
      </c>
      <c r="D43" s="19" t="s">
        <v>189</v>
      </c>
      <c r="E43" s="17" t="s">
        <v>70</v>
      </c>
      <c r="F43" s="15">
        <v>45701</v>
      </c>
      <c r="G43" s="16">
        <v>46022</v>
      </c>
      <c r="H43" s="20">
        <v>109180000</v>
      </c>
      <c r="I43" s="20">
        <v>10300000</v>
      </c>
      <c r="J43" s="5">
        <v>6180000</v>
      </c>
      <c r="K43" s="9">
        <f t="shared" si="2"/>
        <v>103000000</v>
      </c>
      <c r="L43" s="14">
        <f t="shared" si="3"/>
        <v>5.6603773584905648E-2</v>
      </c>
      <c r="M43" s="11">
        <v>0</v>
      </c>
      <c r="N43" s="12">
        <v>0</v>
      </c>
      <c r="O43" s="3"/>
    </row>
    <row r="44" spans="1:15" ht="105" x14ac:dyDescent="0.25">
      <c r="A44" s="22" t="s">
        <v>130</v>
      </c>
      <c r="B44" s="17">
        <v>37555335</v>
      </c>
      <c r="C44" s="17">
        <v>9</v>
      </c>
      <c r="D44" s="19" t="s">
        <v>190</v>
      </c>
      <c r="E44" s="17" t="s">
        <v>71</v>
      </c>
      <c r="F44" s="15">
        <v>45700</v>
      </c>
      <c r="G44" s="16">
        <v>45758</v>
      </c>
      <c r="H44" s="20">
        <v>17510000</v>
      </c>
      <c r="I44" s="20">
        <v>8755000</v>
      </c>
      <c r="J44" s="5">
        <f>5544833+8755000</f>
        <v>14299833</v>
      </c>
      <c r="K44" s="9">
        <f t="shared" si="2"/>
        <v>3210167</v>
      </c>
      <c r="L44" s="14">
        <f t="shared" si="3"/>
        <v>0.8166666476299258</v>
      </c>
      <c r="M44" s="11">
        <v>0</v>
      </c>
      <c r="N44" s="12">
        <v>0</v>
      </c>
      <c r="O44" s="3"/>
    </row>
    <row r="45" spans="1:15" ht="60" x14ac:dyDescent="0.25">
      <c r="A45" s="22" t="s">
        <v>131</v>
      </c>
      <c r="B45" s="17">
        <v>1128431117</v>
      </c>
      <c r="C45" s="17">
        <v>8</v>
      </c>
      <c r="D45" s="19" t="s">
        <v>191</v>
      </c>
      <c r="E45" s="17" t="s">
        <v>72</v>
      </c>
      <c r="F45" s="15">
        <v>45699</v>
      </c>
      <c r="G45" s="16">
        <v>45787</v>
      </c>
      <c r="H45" s="20">
        <v>11124000</v>
      </c>
      <c r="I45" s="20">
        <v>3708000</v>
      </c>
      <c r="J45" s="5">
        <v>2472000</v>
      </c>
      <c r="K45" s="9">
        <f t="shared" si="2"/>
        <v>8652000</v>
      </c>
      <c r="L45" s="14">
        <f t="shared" si="3"/>
        <v>0.22222222222222221</v>
      </c>
      <c r="M45" s="11">
        <v>0</v>
      </c>
      <c r="N45" s="12">
        <v>0</v>
      </c>
      <c r="O45" s="3"/>
    </row>
    <row r="46" spans="1:15" ht="105" x14ac:dyDescent="0.25">
      <c r="A46" s="22" t="s">
        <v>132</v>
      </c>
      <c r="B46" s="17">
        <v>79509918</v>
      </c>
      <c r="C46" s="17">
        <v>1</v>
      </c>
      <c r="D46" s="19" t="s">
        <v>192</v>
      </c>
      <c r="E46" s="17" t="s">
        <v>73</v>
      </c>
      <c r="F46" s="15">
        <v>45700</v>
      </c>
      <c r="G46" s="16">
        <v>45787</v>
      </c>
      <c r="H46" s="20">
        <v>13905000</v>
      </c>
      <c r="I46" s="20">
        <v>4635000</v>
      </c>
      <c r="J46" s="5">
        <f>2935500+4635000</f>
        <v>7570500</v>
      </c>
      <c r="K46" s="9">
        <f t="shared" si="2"/>
        <v>6334500</v>
      </c>
      <c r="L46" s="14">
        <f t="shared" si="3"/>
        <v>0.54444444444444451</v>
      </c>
      <c r="M46" s="11">
        <v>0</v>
      </c>
      <c r="N46" s="12">
        <v>0</v>
      </c>
      <c r="O46" s="3"/>
    </row>
    <row r="47" spans="1:15" ht="75" x14ac:dyDescent="0.25">
      <c r="A47" s="22" t="s">
        <v>133</v>
      </c>
      <c r="B47" s="17">
        <v>1022392990</v>
      </c>
      <c r="C47" s="17">
        <v>9</v>
      </c>
      <c r="D47" s="19" t="s">
        <v>193</v>
      </c>
      <c r="E47" s="17" t="s">
        <v>74</v>
      </c>
      <c r="F47" s="15">
        <v>45702</v>
      </c>
      <c r="G47" s="16">
        <v>45790</v>
      </c>
      <c r="H47" s="20">
        <v>9900000</v>
      </c>
      <c r="I47" s="20">
        <v>3300000</v>
      </c>
      <c r="J47" s="5">
        <f>1870000+3300000</f>
        <v>5170000</v>
      </c>
      <c r="K47" s="9">
        <f t="shared" si="2"/>
        <v>4730000</v>
      </c>
      <c r="L47" s="14">
        <f t="shared" si="3"/>
        <v>0.52222222222222214</v>
      </c>
      <c r="M47" s="11">
        <v>0</v>
      </c>
      <c r="N47" s="12">
        <v>0</v>
      </c>
      <c r="O47" s="3"/>
    </row>
    <row r="48" spans="1:15" ht="90" x14ac:dyDescent="0.25">
      <c r="A48" s="22" t="s">
        <v>134</v>
      </c>
      <c r="B48" s="17">
        <v>1070948522</v>
      </c>
      <c r="C48" s="17">
        <v>8</v>
      </c>
      <c r="D48" s="19" t="s">
        <v>194</v>
      </c>
      <c r="E48" s="17" t="s">
        <v>75</v>
      </c>
      <c r="F48" s="15">
        <v>45702</v>
      </c>
      <c r="G48" s="16">
        <v>45759</v>
      </c>
      <c r="H48" s="20">
        <v>13390000</v>
      </c>
      <c r="I48" s="20">
        <v>6695000</v>
      </c>
      <c r="J48" s="5">
        <f>3793833+6695000</f>
        <v>10488833</v>
      </c>
      <c r="K48" s="9">
        <f t="shared" si="2"/>
        <v>2901167</v>
      </c>
      <c r="L48" s="14">
        <f t="shared" si="3"/>
        <v>0.78333330843913362</v>
      </c>
      <c r="M48" s="11">
        <v>0</v>
      </c>
      <c r="N48" s="12">
        <v>0</v>
      </c>
      <c r="O48" s="3"/>
    </row>
    <row r="49" spans="1:15" ht="60" x14ac:dyDescent="0.25">
      <c r="A49" s="22" t="s">
        <v>135</v>
      </c>
      <c r="B49" s="17">
        <v>1024600527</v>
      </c>
      <c r="C49" s="17">
        <v>2</v>
      </c>
      <c r="D49" s="19" t="s">
        <v>195</v>
      </c>
      <c r="E49" s="17" t="s">
        <v>76</v>
      </c>
      <c r="F49" s="15">
        <v>45712</v>
      </c>
      <c r="G49" s="16">
        <v>45800</v>
      </c>
      <c r="H49" s="20">
        <v>9900000</v>
      </c>
      <c r="I49" s="20">
        <v>3300000</v>
      </c>
      <c r="J49" s="5">
        <f>770000+3300000</f>
        <v>4070000</v>
      </c>
      <c r="K49" s="9">
        <f t="shared" si="2"/>
        <v>5830000</v>
      </c>
      <c r="L49" s="14">
        <f t="shared" si="3"/>
        <v>0.41111111111111109</v>
      </c>
      <c r="M49" s="11">
        <v>0</v>
      </c>
      <c r="N49" s="12">
        <v>0</v>
      </c>
      <c r="O49" s="3"/>
    </row>
    <row r="50" spans="1:15" ht="75" x14ac:dyDescent="0.25">
      <c r="A50" s="22" t="s">
        <v>136</v>
      </c>
      <c r="B50" s="17">
        <v>1066182876</v>
      </c>
      <c r="C50" s="17">
        <v>6</v>
      </c>
      <c r="D50" s="19" t="s">
        <v>196</v>
      </c>
      <c r="E50" s="17" t="s">
        <v>77</v>
      </c>
      <c r="F50" s="15">
        <v>45701</v>
      </c>
      <c r="G50" s="16">
        <v>46022</v>
      </c>
      <c r="H50" s="20">
        <v>92803000</v>
      </c>
      <c r="I50" s="20">
        <v>8755000</v>
      </c>
      <c r="J50" s="5">
        <f>5253000+8755000</f>
        <v>14008000</v>
      </c>
      <c r="K50" s="9">
        <f t="shared" si="2"/>
        <v>78795000</v>
      </c>
      <c r="L50" s="14">
        <f t="shared" si="3"/>
        <v>0.15094339622641506</v>
      </c>
      <c r="M50" s="11">
        <v>0</v>
      </c>
      <c r="N50" s="12">
        <v>0</v>
      </c>
      <c r="O50" s="3"/>
    </row>
    <row r="51" spans="1:15" ht="90" x14ac:dyDescent="0.25">
      <c r="A51" s="22" t="s">
        <v>137</v>
      </c>
      <c r="B51" s="17">
        <v>1049628701</v>
      </c>
      <c r="C51" s="17">
        <v>0</v>
      </c>
      <c r="D51" s="19" t="s">
        <v>197</v>
      </c>
      <c r="E51" s="17" t="s">
        <v>78</v>
      </c>
      <c r="F51" s="15">
        <v>45702</v>
      </c>
      <c r="G51" s="16">
        <v>45943</v>
      </c>
      <c r="H51" s="20">
        <v>70040000</v>
      </c>
      <c r="I51" s="20">
        <v>8755000</v>
      </c>
      <c r="J51" s="5">
        <f>4961167+8755000</f>
        <v>13716167</v>
      </c>
      <c r="K51" s="9">
        <f t="shared" si="2"/>
        <v>56323833</v>
      </c>
      <c r="L51" s="14">
        <f t="shared" si="3"/>
        <v>0.19583333809251857</v>
      </c>
      <c r="M51" s="11">
        <v>0</v>
      </c>
      <c r="N51" s="12">
        <v>0</v>
      </c>
      <c r="O51" s="3"/>
    </row>
    <row r="52" spans="1:15" ht="90" x14ac:dyDescent="0.25">
      <c r="A52" s="22" t="s">
        <v>138</v>
      </c>
      <c r="B52" s="17">
        <v>1070918764</v>
      </c>
      <c r="C52" s="17">
        <v>5</v>
      </c>
      <c r="D52" s="19" t="s">
        <v>198</v>
      </c>
      <c r="E52" s="17" t="s">
        <v>79</v>
      </c>
      <c r="F52" s="15">
        <v>45701</v>
      </c>
      <c r="G52" s="16">
        <v>45789</v>
      </c>
      <c r="H52" s="20">
        <v>13905000</v>
      </c>
      <c r="I52" s="20">
        <v>4635000</v>
      </c>
      <c r="J52" s="5">
        <v>2781000</v>
      </c>
      <c r="K52" s="9">
        <f t="shared" si="2"/>
        <v>11124000</v>
      </c>
      <c r="L52" s="14">
        <f t="shared" si="3"/>
        <v>0.19999999999999996</v>
      </c>
      <c r="M52" s="11">
        <v>0</v>
      </c>
      <c r="N52" s="12">
        <v>0</v>
      </c>
      <c r="O52" s="3"/>
    </row>
    <row r="53" spans="1:15" ht="90" x14ac:dyDescent="0.25">
      <c r="A53" s="22" t="s">
        <v>139</v>
      </c>
      <c r="B53" s="17">
        <v>79595486</v>
      </c>
      <c r="C53" s="17">
        <v>6</v>
      </c>
      <c r="D53" s="19" t="s">
        <v>199</v>
      </c>
      <c r="E53" s="17" t="s">
        <v>80</v>
      </c>
      <c r="F53" s="15">
        <v>45701</v>
      </c>
      <c r="G53" s="16">
        <v>45760</v>
      </c>
      <c r="H53" s="20">
        <v>17510000</v>
      </c>
      <c r="I53" s="20">
        <v>8755000</v>
      </c>
      <c r="J53" s="5">
        <v>5253000</v>
      </c>
      <c r="K53" s="9">
        <f t="shared" si="2"/>
        <v>12257000</v>
      </c>
      <c r="L53" s="14">
        <f t="shared" si="3"/>
        <v>0.30000000000000004</v>
      </c>
      <c r="M53" s="11">
        <v>0</v>
      </c>
      <c r="N53" s="12">
        <v>0</v>
      </c>
      <c r="O53" s="3"/>
    </row>
    <row r="54" spans="1:15" ht="75" x14ac:dyDescent="0.25">
      <c r="A54" s="22" t="s">
        <v>140</v>
      </c>
      <c r="B54" s="17">
        <v>1030656140</v>
      </c>
      <c r="C54" s="17">
        <v>9</v>
      </c>
      <c r="D54" s="19" t="s">
        <v>200</v>
      </c>
      <c r="E54" s="17" t="s">
        <v>81</v>
      </c>
      <c r="F54" s="15">
        <v>45708</v>
      </c>
      <c r="G54" s="16">
        <v>45766</v>
      </c>
      <c r="H54" s="20">
        <v>13390000</v>
      </c>
      <c r="I54" s="20">
        <v>6695000</v>
      </c>
      <c r="J54" s="5">
        <f>2564833+10825167</f>
        <v>13390000</v>
      </c>
      <c r="K54" s="9">
        <f t="shared" si="2"/>
        <v>0</v>
      </c>
      <c r="L54" s="14">
        <f t="shared" si="3"/>
        <v>1</v>
      </c>
      <c r="M54" s="11">
        <v>0</v>
      </c>
      <c r="N54" s="12">
        <v>0</v>
      </c>
      <c r="O54" s="3"/>
    </row>
    <row r="55" spans="1:15" ht="75" x14ac:dyDescent="0.25">
      <c r="A55" s="22" t="s">
        <v>141</v>
      </c>
      <c r="B55" s="17">
        <v>52372465</v>
      </c>
      <c r="C55" s="17">
        <v>6</v>
      </c>
      <c r="D55" s="19" t="s">
        <v>201</v>
      </c>
      <c r="E55" s="17" t="s">
        <v>82</v>
      </c>
      <c r="F55" s="15">
        <v>45701</v>
      </c>
      <c r="G55" s="16">
        <v>45789</v>
      </c>
      <c r="H55" s="20">
        <v>9900000</v>
      </c>
      <c r="I55" s="20">
        <v>3300000</v>
      </c>
      <c r="J55" s="5">
        <f>1980000+3300000</f>
        <v>5280000</v>
      </c>
      <c r="K55" s="9">
        <f t="shared" si="2"/>
        <v>4620000</v>
      </c>
      <c r="L55" s="14">
        <f t="shared" si="3"/>
        <v>0.53333333333333333</v>
      </c>
      <c r="M55" s="11">
        <v>0</v>
      </c>
      <c r="N55" s="12">
        <v>0</v>
      </c>
      <c r="O55" s="3"/>
    </row>
    <row r="56" spans="1:15" ht="75" x14ac:dyDescent="0.25">
      <c r="A56" s="22" t="s">
        <v>142</v>
      </c>
      <c r="B56" s="17">
        <v>79640179</v>
      </c>
      <c r="C56" s="17">
        <v>2</v>
      </c>
      <c r="D56" s="19" t="s">
        <v>202</v>
      </c>
      <c r="E56" s="17" t="s">
        <v>83</v>
      </c>
      <c r="F56" s="15">
        <v>45709</v>
      </c>
      <c r="G56" s="16">
        <v>45767</v>
      </c>
      <c r="H56" s="20">
        <v>16480000</v>
      </c>
      <c r="I56" s="20">
        <v>8240000</v>
      </c>
      <c r="J56" s="5">
        <f>3021333+8240000</f>
        <v>11261333</v>
      </c>
      <c r="K56" s="9">
        <f t="shared" si="2"/>
        <v>5218667</v>
      </c>
      <c r="L56" s="14">
        <f t="shared" si="3"/>
        <v>0.68333331310679613</v>
      </c>
      <c r="M56" s="11">
        <v>0</v>
      </c>
      <c r="N56" s="12">
        <v>0</v>
      </c>
      <c r="O56" s="3"/>
    </row>
    <row r="57" spans="1:15" ht="45" x14ac:dyDescent="0.25">
      <c r="A57" s="22" t="s">
        <v>143</v>
      </c>
      <c r="B57" s="17">
        <v>79985524</v>
      </c>
      <c r="C57" s="17">
        <v>1</v>
      </c>
      <c r="D57" s="19" t="s">
        <v>203</v>
      </c>
      <c r="E57" s="17" t="s">
        <v>84</v>
      </c>
      <c r="F57" s="15">
        <v>45702</v>
      </c>
      <c r="G57" s="16">
        <v>45760</v>
      </c>
      <c r="H57" s="20">
        <v>6600000</v>
      </c>
      <c r="I57" s="20">
        <v>3300000</v>
      </c>
      <c r="J57" s="5">
        <f>1870000+3300000</f>
        <v>5170000</v>
      </c>
      <c r="K57" s="9">
        <f t="shared" si="2"/>
        <v>1430000</v>
      </c>
      <c r="L57" s="14">
        <f t="shared" si="3"/>
        <v>0.78333333333333333</v>
      </c>
      <c r="M57" s="11">
        <v>0</v>
      </c>
      <c r="N57" s="12">
        <v>0</v>
      </c>
      <c r="O57" s="3"/>
    </row>
    <row r="58" spans="1:15" ht="45" x14ac:dyDescent="0.25">
      <c r="A58" s="22" t="s">
        <v>144</v>
      </c>
      <c r="B58" s="17">
        <v>1022374419</v>
      </c>
      <c r="C58" s="17">
        <v>8</v>
      </c>
      <c r="D58" s="19" t="s">
        <v>204</v>
      </c>
      <c r="E58" s="17" t="s">
        <v>85</v>
      </c>
      <c r="F58" s="15">
        <v>45709</v>
      </c>
      <c r="G58" s="16">
        <v>45802</v>
      </c>
      <c r="H58" s="20">
        <v>26265000</v>
      </c>
      <c r="I58" s="20">
        <v>8755000</v>
      </c>
      <c r="J58" s="5">
        <f>2918333+I58</f>
        <v>11673333</v>
      </c>
      <c r="K58" s="9">
        <f t="shared" si="2"/>
        <v>14591667</v>
      </c>
      <c r="L58" s="14">
        <f t="shared" si="3"/>
        <v>0.44444443175328385</v>
      </c>
      <c r="M58" s="11">
        <v>0</v>
      </c>
      <c r="N58" s="12">
        <v>0</v>
      </c>
      <c r="O58" s="3"/>
    </row>
    <row r="59" spans="1:15" ht="90" x14ac:dyDescent="0.25">
      <c r="A59" s="22" t="s">
        <v>145</v>
      </c>
      <c r="B59" s="17">
        <v>1000515195</v>
      </c>
      <c r="C59" s="17">
        <v>1</v>
      </c>
      <c r="D59" s="19" t="s">
        <v>205</v>
      </c>
      <c r="E59" s="17" t="s">
        <v>86</v>
      </c>
      <c r="F59" s="15">
        <v>45712</v>
      </c>
      <c r="G59" s="16">
        <v>45800</v>
      </c>
      <c r="H59" s="20">
        <v>13905000</v>
      </c>
      <c r="I59" s="20">
        <v>4635000</v>
      </c>
      <c r="J59" s="5">
        <f>1081500+I59</f>
        <v>5716500</v>
      </c>
      <c r="K59" s="9">
        <f t="shared" si="2"/>
        <v>8188500</v>
      </c>
      <c r="L59" s="14">
        <f t="shared" si="3"/>
        <v>0.41111111111111109</v>
      </c>
      <c r="M59" s="11">
        <v>0</v>
      </c>
      <c r="N59" s="12">
        <v>0</v>
      </c>
      <c r="O59" s="3"/>
    </row>
    <row r="60" spans="1:15" ht="60" x14ac:dyDescent="0.25">
      <c r="A60" s="22" t="s">
        <v>146</v>
      </c>
      <c r="B60" s="17">
        <v>1085309502</v>
      </c>
      <c r="C60" s="17">
        <v>4</v>
      </c>
      <c r="D60" s="19" t="s">
        <v>206</v>
      </c>
      <c r="E60" s="17" t="s">
        <v>87</v>
      </c>
      <c r="F60" s="15">
        <v>45707</v>
      </c>
      <c r="G60" s="16">
        <v>45765</v>
      </c>
      <c r="H60" s="20">
        <v>8549000</v>
      </c>
      <c r="I60" s="20">
        <v>4274500</v>
      </c>
      <c r="J60" s="5">
        <f>1709800+I60</f>
        <v>5984300</v>
      </c>
      <c r="K60" s="9">
        <f t="shared" si="2"/>
        <v>2564700</v>
      </c>
      <c r="L60" s="14">
        <f t="shared" si="3"/>
        <v>0.7</v>
      </c>
      <c r="M60" s="11">
        <v>0</v>
      </c>
      <c r="N60" s="12">
        <v>0</v>
      </c>
      <c r="O60" s="3"/>
    </row>
    <row r="61" spans="1:15" ht="75" x14ac:dyDescent="0.25">
      <c r="A61" s="22" t="s">
        <v>239</v>
      </c>
      <c r="B61" s="17">
        <v>1014267307</v>
      </c>
      <c r="C61" s="17">
        <v>4</v>
      </c>
      <c r="D61" s="19" t="s">
        <v>237</v>
      </c>
      <c r="E61" s="17" t="s">
        <v>238</v>
      </c>
      <c r="F61" s="15">
        <v>45719</v>
      </c>
      <c r="G61" s="16">
        <v>45810</v>
      </c>
      <c r="H61" s="20">
        <v>9900000</v>
      </c>
      <c r="I61" s="20">
        <v>3300000</v>
      </c>
      <c r="J61" s="5">
        <f>I61+3080000</f>
        <v>6380000</v>
      </c>
      <c r="K61" s="9">
        <f t="shared" si="2"/>
        <v>3520000</v>
      </c>
      <c r="L61" s="14">
        <f t="shared" ref="L61" si="4">1-(K61/H61)</f>
        <v>0.64444444444444438</v>
      </c>
      <c r="M61" s="11">
        <v>0</v>
      </c>
      <c r="N61" s="12">
        <v>0</v>
      </c>
      <c r="O61" s="3"/>
    </row>
    <row r="62" spans="1:15" ht="45" x14ac:dyDescent="0.25">
      <c r="A62" s="22" t="s">
        <v>147</v>
      </c>
      <c r="B62" s="17">
        <v>53081081</v>
      </c>
      <c r="C62" s="17">
        <v>6</v>
      </c>
      <c r="D62" s="19" t="s">
        <v>207</v>
      </c>
      <c r="E62" s="17" t="s">
        <v>88</v>
      </c>
      <c r="F62" s="15">
        <v>45706</v>
      </c>
      <c r="G62" s="16">
        <v>45763</v>
      </c>
      <c r="H62" s="20">
        <v>13390000</v>
      </c>
      <c r="I62" s="20">
        <v>6695000</v>
      </c>
      <c r="J62" s="5">
        <f>2901167+I62</f>
        <v>9596167</v>
      </c>
      <c r="K62" s="9">
        <f t="shared" si="2"/>
        <v>3793833</v>
      </c>
      <c r="L62" s="14">
        <f t="shared" si="3"/>
        <v>0.71666669156086638</v>
      </c>
      <c r="M62" s="11">
        <v>0</v>
      </c>
      <c r="N62" s="12">
        <v>0</v>
      </c>
      <c r="O62" s="3"/>
    </row>
    <row r="63" spans="1:15" ht="60" x14ac:dyDescent="0.25">
      <c r="A63" s="22" t="s">
        <v>148</v>
      </c>
      <c r="B63" s="17">
        <v>1023902292</v>
      </c>
      <c r="C63" s="17">
        <v>1</v>
      </c>
      <c r="D63" s="19" t="s">
        <v>208</v>
      </c>
      <c r="E63" s="17" t="s">
        <v>89</v>
      </c>
      <c r="F63" s="15">
        <v>45707</v>
      </c>
      <c r="G63" s="16">
        <v>45795</v>
      </c>
      <c r="H63" s="20">
        <v>23175000</v>
      </c>
      <c r="I63" s="20">
        <v>7725000</v>
      </c>
      <c r="J63" s="5">
        <f>3090000+I63</f>
        <v>10815000</v>
      </c>
      <c r="K63" s="9">
        <f t="shared" si="2"/>
        <v>12360000</v>
      </c>
      <c r="L63" s="14">
        <f t="shared" si="3"/>
        <v>0.46666666666666667</v>
      </c>
      <c r="M63" s="11">
        <v>0</v>
      </c>
      <c r="N63" s="12">
        <v>0</v>
      </c>
      <c r="O63" s="3"/>
    </row>
    <row r="64" spans="1:15" ht="45" x14ac:dyDescent="0.25">
      <c r="A64" s="22" t="s">
        <v>149</v>
      </c>
      <c r="B64" s="17">
        <v>1070956438</v>
      </c>
      <c r="C64" s="17">
        <v>0</v>
      </c>
      <c r="D64" s="19" t="s">
        <v>209</v>
      </c>
      <c r="E64" s="17" t="s">
        <v>90</v>
      </c>
      <c r="F64" s="15">
        <v>45707</v>
      </c>
      <c r="G64" s="16">
        <v>45795</v>
      </c>
      <c r="H64" s="20">
        <v>23175000</v>
      </c>
      <c r="I64" s="20">
        <v>7725000</v>
      </c>
      <c r="J64" s="5">
        <f>3090000+I64</f>
        <v>10815000</v>
      </c>
      <c r="K64" s="9">
        <f t="shared" si="2"/>
        <v>12360000</v>
      </c>
      <c r="L64" s="14">
        <f t="shared" si="3"/>
        <v>0.46666666666666667</v>
      </c>
      <c r="M64" s="11">
        <v>0</v>
      </c>
      <c r="N64" s="12">
        <v>0</v>
      </c>
      <c r="O64" s="3"/>
    </row>
    <row r="65" spans="1:15" ht="60" x14ac:dyDescent="0.25">
      <c r="A65" s="22" t="s">
        <v>150</v>
      </c>
      <c r="B65" s="17">
        <v>80097030</v>
      </c>
      <c r="C65" s="17">
        <v>9</v>
      </c>
      <c r="D65" s="19" t="s">
        <v>210</v>
      </c>
      <c r="E65" s="17" t="s">
        <v>91</v>
      </c>
      <c r="F65" s="15">
        <v>45709</v>
      </c>
      <c r="G65" s="16">
        <v>46022</v>
      </c>
      <c r="H65" s="20">
        <v>90468333</v>
      </c>
      <c r="I65" s="20">
        <v>8755000</v>
      </c>
      <c r="J65" s="5">
        <f>I65+2918333</f>
        <v>11673333</v>
      </c>
      <c r="K65" s="9">
        <f t="shared" si="2"/>
        <v>78795000</v>
      </c>
      <c r="L65" s="14">
        <f t="shared" si="3"/>
        <v>0.12903225485540892</v>
      </c>
      <c r="M65" s="11">
        <v>0</v>
      </c>
      <c r="N65" s="12">
        <v>0</v>
      </c>
      <c r="O65" s="3"/>
    </row>
    <row r="66" spans="1:15" ht="75" x14ac:dyDescent="0.25">
      <c r="A66" s="22" t="s">
        <v>151</v>
      </c>
      <c r="B66" s="17">
        <v>13362123</v>
      </c>
      <c r="C66" s="17">
        <v>8</v>
      </c>
      <c r="D66" s="19" t="s">
        <v>211</v>
      </c>
      <c r="E66" s="17" t="s">
        <v>92</v>
      </c>
      <c r="F66" s="15">
        <v>45708</v>
      </c>
      <c r="G66" s="16">
        <v>46022</v>
      </c>
      <c r="H66" s="20">
        <v>90760167</v>
      </c>
      <c r="I66" s="20">
        <v>8755000</v>
      </c>
      <c r="J66" s="5">
        <f>I66+3210167</f>
        <v>11965167</v>
      </c>
      <c r="K66" s="9">
        <f t="shared" si="2"/>
        <v>78795000</v>
      </c>
      <c r="L66" s="14">
        <f t="shared" si="3"/>
        <v>0.13183280061615577</v>
      </c>
      <c r="M66" s="11">
        <v>0</v>
      </c>
      <c r="N66" s="12">
        <v>0</v>
      </c>
      <c r="O66" s="3"/>
    </row>
    <row r="67" spans="1:15" ht="75" x14ac:dyDescent="0.25">
      <c r="A67" s="22" t="s">
        <v>152</v>
      </c>
      <c r="B67" s="17">
        <v>1022422640</v>
      </c>
      <c r="C67" s="17">
        <v>6</v>
      </c>
      <c r="D67" s="19" t="s">
        <v>212</v>
      </c>
      <c r="E67" s="17" t="s">
        <v>93</v>
      </c>
      <c r="F67" s="15">
        <v>45709</v>
      </c>
      <c r="G67" s="16">
        <v>45797</v>
      </c>
      <c r="H67" s="20">
        <v>9900000</v>
      </c>
      <c r="I67" s="20">
        <v>3300000</v>
      </c>
      <c r="J67" s="5">
        <v>1100000</v>
      </c>
      <c r="K67" s="9">
        <f t="shared" si="2"/>
        <v>8800000</v>
      </c>
      <c r="L67" s="14">
        <f t="shared" si="3"/>
        <v>0.11111111111111116</v>
      </c>
      <c r="M67" s="11">
        <v>0</v>
      </c>
      <c r="N67" s="12">
        <v>0</v>
      </c>
      <c r="O67" s="3"/>
    </row>
    <row r="68" spans="1:15" ht="90" x14ac:dyDescent="0.25">
      <c r="A68" s="22" t="s">
        <v>153</v>
      </c>
      <c r="B68" s="17">
        <v>1090428817</v>
      </c>
      <c r="C68" s="17">
        <v>7</v>
      </c>
      <c r="D68" s="19" t="s">
        <v>213</v>
      </c>
      <c r="E68" s="17" t="s">
        <v>94</v>
      </c>
      <c r="F68" s="15">
        <v>45709</v>
      </c>
      <c r="G68" s="16">
        <v>45797</v>
      </c>
      <c r="H68" s="20">
        <v>13905000</v>
      </c>
      <c r="I68" s="20">
        <v>4635000</v>
      </c>
      <c r="J68" s="5">
        <v>1545000</v>
      </c>
      <c r="K68" s="9">
        <f t="shared" si="2"/>
        <v>12360000</v>
      </c>
      <c r="L68" s="14">
        <f t="shared" si="3"/>
        <v>0.11111111111111116</v>
      </c>
      <c r="M68" s="11">
        <v>0</v>
      </c>
      <c r="N68" s="12">
        <v>0</v>
      </c>
      <c r="O68" s="3"/>
    </row>
    <row r="69" spans="1:15" ht="45" x14ac:dyDescent="0.25">
      <c r="A69" s="22" t="s">
        <v>154</v>
      </c>
      <c r="B69" s="17">
        <v>1101873530</v>
      </c>
      <c r="C69" s="17">
        <v>5</v>
      </c>
      <c r="D69" s="19" t="s">
        <v>214</v>
      </c>
      <c r="E69" s="17" t="s">
        <v>95</v>
      </c>
      <c r="F69" s="15">
        <v>45709</v>
      </c>
      <c r="G69" s="16">
        <v>46022</v>
      </c>
      <c r="H69" s="20">
        <v>34100000</v>
      </c>
      <c r="I69" s="20">
        <v>3300000</v>
      </c>
      <c r="J69" s="5">
        <f>1100000+I69</f>
        <v>4400000</v>
      </c>
      <c r="K69" s="9">
        <f t="shared" si="2"/>
        <v>29700000</v>
      </c>
      <c r="L69" s="14">
        <f t="shared" si="3"/>
        <v>0.12903225806451613</v>
      </c>
      <c r="M69" s="11">
        <v>0</v>
      </c>
      <c r="N69" s="12">
        <v>0</v>
      </c>
      <c r="O69" s="3"/>
    </row>
    <row r="70" spans="1:15" ht="105" x14ac:dyDescent="0.25">
      <c r="A70" s="22" t="s">
        <v>155</v>
      </c>
      <c r="B70" s="17">
        <v>60344235</v>
      </c>
      <c r="C70" s="17">
        <v>9</v>
      </c>
      <c r="D70" s="19" t="s">
        <v>215</v>
      </c>
      <c r="E70" s="17" t="s">
        <v>96</v>
      </c>
      <c r="F70" s="15">
        <v>45709</v>
      </c>
      <c r="G70" s="16">
        <v>45767</v>
      </c>
      <c r="H70" s="20">
        <v>15450000</v>
      </c>
      <c r="I70" s="20">
        <v>7725000</v>
      </c>
      <c r="J70" s="5">
        <f>2575000+I70</f>
        <v>10300000</v>
      </c>
      <c r="K70" s="9">
        <f t="shared" si="2"/>
        <v>5150000</v>
      </c>
      <c r="L70" s="14">
        <f t="shared" si="3"/>
        <v>0.66666666666666674</v>
      </c>
      <c r="M70" s="11">
        <v>0</v>
      </c>
      <c r="N70" s="12">
        <v>0</v>
      </c>
      <c r="O70" s="3"/>
    </row>
    <row r="71" spans="1:15" ht="75" x14ac:dyDescent="0.25">
      <c r="A71" s="22" t="s">
        <v>156</v>
      </c>
      <c r="B71" s="17">
        <v>1010218439</v>
      </c>
      <c r="C71" s="17">
        <v>4</v>
      </c>
      <c r="D71" s="19" t="s">
        <v>216</v>
      </c>
      <c r="E71" s="17" t="s">
        <v>97</v>
      </c>
      <c r="F71" s="15">
        <v>45709</v>
      </c>
      <c r="G71" s="16">
        <v>45767</v>
      </c>
      <c r="H71" s="20">
        <v>15450000</v>
      </c>
      <c r="I71" s="20">
        <v>7725000</v>
      </c>
      <c r="J71" s="5">
        <f>2575000+I71</f>
        <v>10300000</v>
      </c>
      <c r="K71" s="9">
        <f t="shared" si="2"/>
        <v>5150000</v>
      </c>
      <c r="L71" s="14">
        <f t="shared" si="3"/>
        <v>0.66666666666666674</v>
      </c>
      <c r="M71" s="11">
        <v>0</v>
      </c>
      <c r="N71" s="12">
        <v>0</v>
      </c>
      <c r="O71" s="3"/>
    </row>
    <row r="72" spans="1:15" ht="75" x14ac:dyDescent="0.25">
      <c r="A72" s="22" t="s">
        <v>157</v>
      </c>
      <c r="B72" s="17">
        <v>52996334</v>
      </c>
      <c r="C72" s="17">
        <v>8</v>
      </c>
      <c r="D72" s="19" t="s">
        <v>217</v>
      </c>
      <c r="E72" s="17" t="s">
        <v>98</v>
      </c>
      <c r="F72" s="15">
        <v>45712</v>
      </c>
      <c r="G72" s="16">
        <v>45770</v>
      </c>
      <c r="H72" s="20">
        <v>17510000</v>
      </c>
      <c r="I72" s="20">
        <v>8755000</v>
      </c>
      <c r="J72" s="5">
        <f>I72+2042833</f>
        <v>10797833</v>
      </c>
      <c r="K72" s="9">
        <f t="shared" si="2"/>
        <v>6712167</v>
      </c>
      <c r="L72" s="14">
        <f t="shared" si="3"/>
        <v>0.61666664762992573</v>
      </c>
      <c r="M72" s="11">
        <v>0</v>
      </c>
      <c r="N72" s="12">
        <v>0</v>
      </c>
      <c r="O72" s="3"/>
    </row>
    <row r="73" spans="1:15" ht="60" x14ac:dyDescent="0.25">
      <c r="A73" s="22" t="s">
        <v>158</v>
      </c>
      <c r="B73" s="17">
        <v>7170018</v>
      </c>
      <c r="C73" s="17">
        <v>6</v>
      </c>
      <c r="D73" s="19" t="s">
        <v>218</v>
      </c>
      <c r="E73" s="17" t="s">
        <v>99</v>
      </c>
      <c r="F73" s="15">
        <v>45712</v>
      </c>
      <c r="G73" s="16">
        <v>45800</v>
      </c>
      <c r="H73" s="20">
        <v>28119000</v>
      </c>
      <c r="I73" s="20">
        <v>9373000</v>
      </c>
      <c r="J73" s="5">
        <f>2187033+9373000</f>
        <v>11560033</v>
      </c>
      <c r="K73" s="9">
        <f t="shared" si="2"/>
        <v>16558967</v>
      </c>
      <c r="L73" s="14">
        <f t="shared" si="3"/>
        <v>0.41111109925673028</v>
      </c>
      <c r="M73" s="11">
        <v>0</v>
      </c>
      <c r="N73" s="12">
        <v>0</v>
      </c>
      <c r="O73" s="3"/>
    </row>
    <row r="74" spans="1:15" ht="60" x14ac:dyDescent="0.25">
      <c r="A74" s="22" t="s">
        <v>159</v>
      </c>
      <c r="B74" s="17">
        <v>1143425034</v>
      </c>
      <c r="C74" s="17">
        <v>5</v>
      </c>
      <c r="D74" s="19" t="s">
        <v>219</v>
      </c>
      <c r="E74" s="17" t="s">
        <v>100</v>
      </c>
      <c r="F74" s="15">
        <v>45712</v>
      </c>
      <c r="G74" s="16">
        <v>45800</v>
      </c>
      <c r="H74" s="20">
        <v>28119000</v>
      </c>
      <c r="I74" s="20">
        <v>9373000</v>
      </c>
      <c r="J74" s="5">
        <f>2187033+9373000</f>
        <v>11560033</v>
      </c>
      <c r="K74" s="9">
        <f t="shared" si="2"/>
        <v>16558967</v>
      </c>
      <c r="L74" s="14">
        <f t="shared" si="3"/>
        <v>0.41111109925673028</v>
      </c>
      <c r="M74" s="11">
        <v>0</v>
      </c>
      <c r="N74" s="12">
        <v>0</v>
      </c>
      <c r="O74" s="3"/>
    </row>
    <row r="75" spans="1:15" ht="60" x14ac:dyDescent="0.25">
      <c r="A75" s="22" t="s">
        <v>160</v>
      </c>
      <c r="B75" s="17">
        <v>1121872051</v>
      </c>
      <c r="C75" s="17">
        <v>7</v>
      </c>
      <c r="D75" s="19" t="s">
        <v>220</v>
      </c>
      <c r="E75" s="17" t="s">
        <v>101</v>
      </c>
      <c r="F75" s="15">
        <v>45712</v>
      </c>
      <c r="G75" s="16">
        <v>45800</v>
      </c>
      <c r="H75" s="20">
        <v>16480000</v>
      </c>
      <c r="I75" s="20">
        <v>8240000</v>
      </c>
      <c r="J75" s="5">
        <f>1922667+I75</f>
        <v>10162667</v>
      </c>
      <c r="K75" s="9">
        <f t="shared" si="2"/>
        <v>6317333</v>
      </c>
      <c r="L75" s="14">
        <f t="shared" si="3"/>
        <v>0.61666668689320381</v>
      </c>
      <c r="M75" s="11">
        <v>0</v>
      </c>
      <c r="N75" s="12">
        <v>0</v>
      </c>
      <c r="O75" s="3"/>
    </row>
    <row r="76" spans="1:15" ht="45" x14ac:dyDescent="0.25">
      <c r="A76" s="22" t="s">
        <v>161</v>
      </c>
      <c r="B76" s="17">
        <v>1031148185</v>
      </c>
      <c r="C76" s="17">
        <v>4</v>
      </c>
      <c r="D76" s="19" t="s">
        <v>221</v>
      </c>
      <c r="E76" s="17" t="s">
        <v>102</v>
      </c>
      <c r="F76" s="15">
        <v>45713</v>
      </c>
      <c r="G76" s="16">
        <v>45771</v>
      </c>
      <c r="H76" s="20">
        <v>6600000</v>
      </c>
      <c r="I76" s="20">
        <v>3300000</v>
      </c>
      <c r="J76" s="5">
        <f>660000+I76</f>
        <v>3960000</v>
      </c>
      <c r="K76" s="9">
        <f t="shared" si="2"/>
        <v>2640000</v>
      </c>
      <c r="L76" s="14">
        <f t="shared" si="3"/>
        <v>0.6</v>
      </c>
      <c r="M76" s="11">
        <v>0</v>
      </c>
      <c r="N76" s="12">
        <v>0</v>
      </c>
      <c r="O76" s="3"/>
    </row>
    <row r="77" spans="1:15" ht="120" x14ac:dyDescent="0.25">
      <c r="A77" s="22" t="s">
        <v>162</v>
      </c>
      <c r="B77" s="17">
        <v>1094974758</v>
      </c>
      <c r="C77" s="17">
        <v>6</v>
      </c>
      <c r="D77" s="19" t="s">
        <v>222</v>
      </c>
      <c r="E77" s="17" t="s">
        <v>103</v>
      </c>
      <c r="F77" s="15">
        <v>45713</v>
      </c>
      <c r="G77" s="16">
        <v>45954</v>
      </c>
      <c r="H77" s="20">
        <v>53560000</v>
      </c>
      <c r="I77" s="20">
        <v>6695000</v>
      </c>
      <c r="J77" s="5">
        <f>1339000+1339000+6695000</f>
        <v>9373000</v>
      </c>
      <c r="K77" s="9">
        <f t="shared" si="2"/>
        <v>44187000</v>
      </c>
      <c r="L77" s="14">
        <f t="shared" si="3"/>
        <v>0.17500000000000004</v>
      </c>
      <c r="M77" s="11">
        <v>0</v>
      </c>
      <c r="N77" s="12">
        <v>0</v>
      </c>
      <c r="O77" s="3"/>
    </row>
    <row r="78" spans="1:15" ht="60" x14ac:dyDescent="0.25">
      <c r="A78" s="22" t="s">
        <v>163</v>
      </c>
      <c r="B78" s="17">
        <v>1070329566</v>
      </c>
      <c r="C78" s="17">
        <v>6</v>
      </c>
      <c r="D78" s="19" t="s">
        <v>223</v>
      </c>
      <c r="E78" s="17" t="s">
        <v>104</v>
      </c>
      <c r="F78" s="15">
        <v>45713</v>
      </c>
      <c r="G78" s="16">
        <v>46022</v>
      </c>
      <c r="H78" s="20">
        <v>84048000</v>
      </c>
      <c r="I78" s="20">
        <v>8240000.0000000009</v>
      </c>
      <c r="J78" s="5">
        <v>1648000</v>
      </c>
      <c r="K78" s="9">
        <f t="shared" si="2"/>
        <v>82400000</v>
      </c>
      <c r="L78" s="14">
        <f t="shared" si="3"/>
        <v>1.9607843137254943E-2</v>
      </c>
      <c r="M78" s="11">
        <v>0</v>
      </c>
      <c r="N78" s="12">
        <v>0</v>
      </c>
      <c r="O78" s="3"/>
    </row>
    <row r="79" spans="1:15" ht="90" x14ac:dyDescent="0.25">
      <c r="A79" s="22" t="s">
        <v>283</v>
      </c>
      <c r="B79" s="17">
        <v>36556354</v>
      </c>
      <c r="C79" s="17">
        <v>1</v>
      </c>
      <c r="D79" s="19" t="s">
        <v>326</v>
      </c>
      <c r="E79" s="17" t="s">
        <v>240</v>
      </c>
      <c r="F79" s="15">
        <v>45719</v>
      </c>
      <c r="G79" s="16">
        <v>46022</v>
      </c>
      <c r="H79" s="20">
        <v>71379000</v>
      </c>
      <c r="I79" s="20">
        <v>7210000</v>
      </c>
      <c r="J79" s="5">
        <v>6489000</v>
      </c>
      <c r="K79" s="9">
        <f t="shared" ref="K79:K121" si="5">H79-J79</f>
        <v>64890000</v>
      </c>
      <c r="L79" s="14">
        <f t="shared" ref="L79:L121" si="6">1-(K79/H79)</f>
        <v>9.0909090909090939E-2</v>
      </c>
      <c r="M79" s="11">
        <v>0</v>
      </c>
      <c r="N79" s="12">
        <v>0</v>
      </c>
      <c r="O79" s="3"/>
    </row>
    <row r="80" spans="1:15" ht="75" x14ac:dyDescent="0.25">
      <c r="A80" s="22" t="s">
        <v>284</v>
      </c>
      <c r="B80" s="17">
        <v>52816943</v>
      </c>
      <c r="C80" s="17">
        <v>2</v>
      </c>
      <c r="D80" s="19" t="s">
        <v>327</v>
      </c>
      <c r="E80" s="17" t="s">
        <v>241</v>
      </c>
      <c r="F80" s="15">
        <v>45719</v>
      </c>
      <c r="G80" s="16">
        <v>45779</v>
      </c>
      <c r="H80" s="20">
        <v>16480000</v>
      </c>
      <c r="I80" s="20">
        <v>8240000</v>
      </c>
      <c r="J80" s="5">
        <v>7690667</v>
      </c>
      <c r="K80" s="9">
        <f t="shared" si="5"/>
        <v>8789333</v>
      </c>
      <c r="L80" s="14">
        <f t="shared" si="6"/>
        <v>0.4666666868932039</v>
      </c>
      <c r="M80" s="11">
        <v>0</v>
      </c>
      <c r="N80" s="12">
        <v>0</v>
      </c>
      <c r="O80" s="3"/>
    </row>
    <row r="81" spans="1:15" ht="75" x14ac:dyDescent="0.25">
      <c r="A81" s="22" t="s">
        <v>285</v>
      </c>
      <c r="B81" s="17">
        <v>52052153</v>
      </c>
      <c r="C81" s="17">
        <v>0</v>
      </c>
      <c r="D81" s="19" t="s">
        <v>328</v>
      </c>
      <c r="E81" s="17" t="s">
        <v>242</v>
      </c>
      <c r="F81" s="15">
        <v>45719</v>
      </c>
      <c r="G81" s="16">
        <v>45779</v>
      </c>
      <c r="H81" s="20">
        <v>11330000</v>
      </c>
      <c r="I81" s="20">
        <v>5665000</v>
      </c>
      <c r="J81" s="5">
        <v>5827333</v>
      </c>
      <c r="K81" s="9">
        <f t="shared" si="5"/>
        <v>5502667</v>
      </c>
      <c r="L81" s="14">
        <f t="shared" si="6"/>
        <v>0.51432771403353927</v>
      </c>
      <c r="M81" s="11">
        <v>0</v>
      </c>
      <c r="N81" s="12">
        <v>0</v>
      </c>
      <c r="O81" s="3"/>
    </row>
    <row r="82" spans="1:15" ht="60" x14ac:dyDescent="0.25">
      <c r="A82" s="22" t="s">
        <v>286</v>
      </c>
      <c r="B82" s="17">
        <v>14838515</v>
      </c>
      <c r="C82" s="17">
        <v>1</v>
      </c>
      <c r="D82" s="19" t="s">
        <v>329</v>
      </c>
      <c r="E82" s="17" t="s">
        <v>243</v>
      </c>
      <c r="F82" s="16">
        <v>45720</v>
      </c>
      <c r="G82" s="16">
        <v>46022</v>
      </c>
      <c r="H82" s="20">
        <v>114810667</v>
      </c>
      <c r="I82" s="20">
        <v>11550000</v>
      </c>
      <c r="J82" s="5">
        <v>10197000</v>
      </c>
      <c r="K82" s="9">
        <f t="shared" si="5"/>
        <v>104613667</v>
      </c>
      <c r="L82" s="14">
        <f t="shared" si="6"/>
        <v>8.881578921582256E-2</v>
      </c>
      <c r="M82" s="11">
        <v>0</v>
      </c>
      <c r="N82" s="12">
        <v>0</v>
      </c>
      <c r="O82" s="3"/>
    </row>
    <row r="83" spans="1:15" ht="45" x14ac:dyDescent="0.25">
      <c r="A83" s="22" t="s">
        <v>287</v>
      </c>
      <c r="B83" s="17">
        <v>32144118</v>
      </c>
      <c r="C83" s="17">
        <v>5</v>
      </c>
      <c r="D83" s="19" t="s">
        <v>330</v>
      </c>
      <c r="E83" s="17" t="s">
        <v>244</v>
      </c>
      <c r="F83" s="16">
        <v>45720</v>
      </c>
      <c r="G83" s="16">
        <v>45780</v>
      </c>
      <c r="H83" s="20">
        <v>17510000</v>
      </c>
      <c r="I83" s="20">
        <v>8755000</v>
      </c>
      <c r="J83" s="5">
        <v>7879500</v>
      </c>
      <c r="K83" s="9">
        <f t="shared" si="5"/>
        <v>9630500</v>
      </c>
      <c r="L83" s="14">
        <f t="shared" si="6"/>
        <v>0.44999999999999996</v>
      </c>
      <c r="M83" s="11">
        <v>0</v>
      </c>
      <c r="N83" s="12">
        <v>0</v>
      </c>
      <c r="O83" s="3"/>
    </row>
    <row r="84" spans="1:15" ht="60" x14ac:dyDescent="0.25">
      <c r="A84" s="22" t="s">
        <v>288</v>
      </c>
      <c r="B84" s="17">
        <v>80017253</v>
      </c>
      <c r="C84" s="17">
        <v>2</v>
      </c>
      <c r="D84" s="19" t="s">
        <v>331</v>
      </c>
      <c r="E84" s="17" t="s">
        <v>245</v>
      </c>
      <c r="F84" s="16">
        <v>45720</v>
      </c>
      <c r="G84" s="15">
        <v>45747</v>
      </c>
      <c r="H84" s="20">
        <v>16480000</v>
      </c>
      <c r="I84" s="20">
        <v>8240000</v>
      </c>
      <c r="J84" s="5">
        <v>7416000</v>
      </c>
      <c r="K84" s="9">
        <f t="shared" si="5"/>
        <v>9064000</v>
      </c>
      <c r="L84" s="14">
        <f t="shared" si="6"/>
        <v>0.44999999999999996</v>
      </c>
      <c r="M84" s="11">
        <v>0</v>
      </c>
      <c r="N84" s="12">
        <v>0</v>
      </c>
      <c r="O84" s="3"/>
    </row>
    <row r="85" spans="1:15" ht="45" x14ac:dyDescent="0.25">
      <c r="A85" s="22" t="s">
        <v>289</v>
      </c>
      <c r="B85" s="17">
        <v>80472297</v>
      </c>
      <c r="C85" s="17">
        <v>6</v>
      </c>
      <c r="D85" s="19" t="s">
        <v>332</v>
      </c>
      <c r="E85" s="17" t="s">
        <v>246</v>
      </c>
      <c r="F85" s="16">
        <v>45721</v>
      </c>
      <c r="G85" s="16">
        <v>46022</v>
      </c>
      <c r="H85" s="20">
        <v>32450000</v>
      </c>
      <c r="I85" s="20">
        <v>3508108.1081081079</v>
      </c>
      <c r="J85" s="5">
        <v>2750000</v>
      </c>
      <c r="K85" s="9">
        <f t="shared" si="5"/>
        <v>29700000</v>
      </c>
      <c r="L85" s="14">
        <f t="shared" si="6"/>
        <v>8.4745762711864403E-2</v>
      </c>
      <c r="M85" s="11">
        <v>0</v>
      </c>
      <c r="N85" s="12">
        <v>0</v>
      </c>
      <c r="O85" s="3"/>
    </row>
    <row r="86" spans="1:15" ht="75" x14ac:dyDescent="0.25">
      <c r="A86" s="22" t="s">
        <v>290</v>
      </c>
      <c r="B86" s="17">
        <v>1010233403</v>
      </c>
      <c r="C86" s="17">
        <v>2</v>
      </c>
      <c r="D86" s="19" t="s">
        <v>333</v>
      </c>
      <c r="E86" s="17" t="s">
        <v>247</v>
      </c>
      <c r="F86" s="15">
        <v>45722</v>
      </c>
      <c r="G86" s="16">
        <v>45782</v>
      </c>
      <c r="H86" s="20">
        <v>16480000</v>
      </c>
      <c r="I86" s="20">
        <v>8240000</v>
      </c>
      <c r="J86" s="5">
        <v>6866667</v>
      </c>
      <c r="K86" s="9">
        <f t="shared" si="5"/>
        <v>9613333</v>
      </c>
      <c r="L86" s="14">
        <f t="shared" si="6"/>
        <v>0.41666668689320385</v>
      </c>
      <c r="M86" s="11">
        <v>0</v>
      </c>
      <c r="N86" s="12">
        <v>0</v>
      </c>
      <c r="O86" s="3"/>
    </row>
    <row r="87" spans="1:15" ht="60" x14ac:dyDescent="0.25">
      <c r="A87" s="22" t="s">
        <v>291</v>
      </c>
      <c r="B87" s="17">
        <v>1066184621</v>
      </c>
      <c r="C87" s="17">
        <v>4</v>
      </c>
      <c r="D87" s="19" t="s">
        <v>334</v>
      </c>
      <c r="E87" s="17" t="s">
        <v>248</v>
      </c>
      <c r="F87" s="16">
        <v>45721</v>
      </c>
      <c r="G87" s="16">
        <v>46022</v>
      </c>
      <c r="H87" s="20">
        <v>82400000</v>
      </c>
      <c r="I87" s="20">
        <v>8240000</v>
      </c>
      <c r="J87" s="5">
        <v>7141333</v>
      </c>
      <c r="K87" s="9">
        <f t="shared" si="5"/>
        <v>75258667</v>
      </c>
      <c r="L87" s="14">
        <f t="shared" si="6"/>
        <v>8.6666662621359247E-2</v>
      </c>
      <c r="M87" s="11">
        <v>0</v>
      </c>
      <c r="N87" s="12">
        <v>0</v>
      </c>
      <c r="O87" s="3"/>
    </row>
    <row r="88" spans="1:15" ht="60" x14ac:dyDescent="0.25">
      <c r="A88" s="22" t="s">
        <v>292</v>
      </c>
      <c r="B88" s="17">
        <v>1053853404</v>
      </c>
      <c r="C88" s="17">
        <v>6</v>
      </c>
      <c r="D88" s="19" t="s">
        <v>335</v>
      </c>
      <c r="E88" s="17" t="s">
        <v>249</v>
      </c>
      <c r="F88" s="15">
        <v>45721</v>
      </c>
      <c r="G88" s="16">
        <v>46022</v>
      </c>
      <c r="H88" s="20">
        <v>81301333</v>
      </c>
      <c r="I88" s="20">
        <v>8240000</v>
      </c>
      <c r="J88" s="5">
        <v>7141333</v>
      </c>
      <c r="K88" s="9">
        <f t="shared" si="5"/>
        <v>74160000</v>
      </c>
      <c r="L88" s="14">
        <f t="shared" si="6"/>
        <v>8.7837834097996947E-2</v>
      </c>
      <c r="M88" s="11">
        <v>0</v>
      </c>
      <c r="N88" s="12">
        <v>0</v>
      </c>
      <c r="O88" s="3"/>
    </row>
    <row r="89" spans="1:15" ht="60" x14ac:dyDescent="0.25">
      <c r="A89" s="22" t="s">
        <v>293</v>
      </c>
      <c r="B89" s="17">
        <v>80224628</v>
      </c>
      <c r="C89" s="17">
        <v>8</v>
      </c>
      <c r="D89" s="19" t="s">
        <v>336</v>
      </c>
      <c r="E89" s="17" t="s">
        <v>250</v>
      </c>
      <c r="F89" s="15">
        <v>45721</v>
      </c>
      <c r="G89" s="16">
        <v>46022</v>
      </c>
      <c r="H89" s="20">
        <v>86382666</v>
      </c>
      <c r="I89" s="20">
        <v>8755000</v>
      </c>
      <c r="J89" s="5">
        <v>7587666</v>
      </c>
      <c r="K89" s="9">
        <f t="shared" si="5"/>
        <v>78795000</v>
      </c>
      <c r="L89" s="14">
        <f t="shared" si="6"/>
        <v>8.7837830798137229E-2</v>
      </c>
      <c r="M89" s="11">
        <v>0</v>
      </c>
      <c r="N89" s="12">
        <v>0</v>
      </c>
      <c r="O89" s="3"/>
    </row>
    <row r="90" spans="1:15" ht="75" x14ac:dyDescent="0.25">
      <c r="A90" s="22" t="s">
        <v>294</v>
      </c>
      <c r="B90" s="17">
        <v>1032462696</v>
      </c>
      <c r="C90" s="17">
        <v>5</v>
      </c>
      <c r="D90" s="19" t="s">
        <v>337</v>
      </c>
      <c r="E90" s="17" t="s">
        <v>251</v>
      </c>
      <c r="F90" s="15">
        <v>45723</v>
      </c>
      <c r="G90" s="16">
        <v>45783</v>
      </c>
      <c r="H90" s="20">
        <v>14420000</v>
      </c>
      <c r="I90" s="20">
        <v>7210000</v>
      </c>
      <c r="J90" s="5">
        <v>5768000</v>
      </c>
      <c r="K90" s="9">
        <f t="shared" si="5"/>
        <v>8652000</v>
      </c>
      <c r="L90" s="14">
        <f t="shared" si="6"/>
        <v>0.4</v>
      </c>
      <c r="M90" s="11">
        <v>0</v>
      </c>
      <c r="N90" s="12">
        <v>0</v>
      </c>
      <c r="O90" s="3"/>
    </row>
    <row r="91" spans="1:15" ht="60" x14ac:dyDescent="0.25">
      <c r="A91" s="22" t="s">
        <v>295</v>
      </c>
      <c r="B91" s="17">
        <v>80195916</v>
      </c>
      <c r="C91" s="17">
        <v>9</v>
      </c>
      <c r="D91" s="19" t="s">
        <v>338</v>
      </c>
      <c r="E91" s="17" t="s">
        <v>252</v>
      </c>
      <c r="F91" s="15">
        <v>45723</v>
      </c>
      <c r="G91" s="16">
        <v>45783</v>
      </c>
      <c r="H91" s="20">
        <v>18746000</v>
      </c>
      <c r="I91" s="20">
        <v>9373000</v>
      </c>
      <c r="J91" s="5">
        <v>7498400</v>
      </c>
      <c r="K91" s="9">
        <f t="shared" si="5"/>
        <v>11247600</v>
      </c>
      <c r="L91" s="14">
        <f t="shared" si="6"/>
        <v>0.4</v>
      </c>
      <c r="M91" s="11">
        <v>0</v>
      </c>
      <c r="N91" s="12">
        <v>0</v>
      </c>
      <c r="O91" s="3"/>
    </row>
    <row r="92" spans="1:15" ht="150" x14ac:dyDescent="0.25">
      <c r="A92" s="22" t="s">
        <v>296</v>
      </c>
      <c r="B92" s="17">
        <v>1054372968</v>
      </c>
      <c r="C92" s="17">
        <v>7</v>
      </c>
      <c r="D92" s="19" t="s">
        <v>339</v>
      </c>
      <c r="E92" s="17" t="s">
        <v>253</v>
      </c>
      <c r="F92" s="15">
        <v>45723</v>
      </c>
      <c r="G92" s="16">
        <v>45783</v>
      </c>
      <c r="H92" s="20">
        <v>16480000</v>
      </c>
      <c r="I92" s="20">
        <v>8240000</v>
      </c>
      <c r="J92" s="5">
        <v>6592000</v>
      </c>
      <c r="K92" s="9">
        <f t="shared" si="5"/>
        <v>9888000</v>
      </c>
      <c r="L92" s="14">
        <f t="shared" si="6"/>
        <v>0.4</v>
      </c>
      <c r="M92" s="11">
        <v>0</v>
      </c>
      <c r="N92" s="12">
        <v>0</v>
      </c>
      <c r="O92" s="3"/>
    </row>
    <row r="93" spans="1:15" ht="75" x14ac:dyDescent="0.25">
      <c r="A93" s="22" t="s">
        <v>297</v>
      </c>
      <c r="B93" s="17">
        <v>1018415781</v>
      </c>
      <c r="C93" s="17">
        <v>2</v>
      </c>
      <c r="D93" s="19" t="s">
        <v>340</v>
      </c>
      <c r="E93" s="17" t="s">
        <v>254</v>
      </c>
      <c r="F93" s="15">
        <v>45723</v>
      </c>
      <c r="G93" s="16">
        <v>46017</v>
      </c>
      <c r="H93" s="20">
        <v>79653333</v>
      </c>
      <c r="I93" s="20">
        <v>8240000</v>
      </c>
      <c r="J93" s="5">
        <v>6592000</v>
      </c>
      <c r="K93" s="9">
        <f t="shared" si="5"/>
        <v>73061333</v>
      </c>
      <c r="L93" s="14">
        <f t="shared" si="6"/>
        <v>8.2758621035983526E-2</v>
      </c>
      <c r="M93" s="11">
        <v>0</v>
      </c>
      <c r="N93" s="12">
        <v>0</v>
      </c>
      <c r="O93" s="3"/>
    </row>
    <row r="94" spans="1:15" ht="60" x14ac:dyDescent="0.25">
      <c r="A94" s="22" t="s">
        <v>298</v>
      </c>
      <c r="B94" s="17">
        <v>1022952696</v>
      </c>
      <c r="C94" s="17">
        <v>1</v>
      </c>
      <c r="D94" s="19" t="s">
        <v>341</v>
      </c>
      <c r="E94" s="17" t="s">
        <v>255</v>
      </c>
      <c r="F94" s="15">
        <v>45727</v>
      </c>
      <c r="G94" s="16">
        <v>45818</v>
      </c>
      <c r="H94" s="20">
        <v>21630000</v>
      </c>
      <c r="I94" s="20">
        <v>7210000</v>
      </c>
      <c r="J94" s="5">
        <v>4120000</v>
      </c>
      <c r="K94" s="9">
        <f t="shared" si="5"/>
        <v>17510000</v>
      </c>
      <c r="L94" s="14">
        <f t="shared" si="6"/>
        <v>0.19047619047619047</v>
      </c>
      <c r="M94" s="11">
        <v>0</v>
      </c>
      <c r="N94" s="12">
        <v>0</v>
      </c>
      <c r="O94" s="3"/>
    </row>
    <row r="95" spans="1:15" ht="105" x14ac:dyDescent="0.25">
      <c r="A95" s="22" t="s">
        <v>299</v>
      </c>
      <c r="B95" s="17">
        <v>1018427750</v>
      </c>
      <c r="C95" s="17">
        <v>6</v>
      </c>
      <c r="D95" s="19" t="s">
        <v>342</v>
      </c>
      <c r="E95" s="17" t="s">
        <v>256</v>
      </c>
      <c r="F95" s="15">
        <v>45727</v>
      </c>
      <c r="G95" s="16">
        <v>45787</v>
      </c>
      <c r="H95" s="20">
        <v>12360000</v>
      </c>
      <c r="I95" s="20">
        <v>6180000</v>
      </c>
      <c r="J95" s="5">
        <v>0</v>
      </c>
      <c r="K95" s="9">
        <f t="shared" si="5"/>
        <v>12360000</v>
      </c>
      <c r="L95" s="14">
        <f t="shared" si="6"/>
        <v>0</v>
      </c>
      <c r="M95" s="11">
        <v>0</v>
      </c>
      <c r="N95" s="12">
        <v>0</v>
      </c>
      <c r="O95" s="3"/>
    </row>
    <row r="96" spans="1:15" ht="75" x14ac:dyDescent="0.25">
      <c r="A96" s="22" t="s">
        <v>300</v>
      </c>
      <c r="B96" s="17">
        <v>91535835</v>
      </c>
      <c r="C96" s="17">
        <v>0</v>
      </c>
      <c r="D96" s="19" t="s">
        <v>343</v>
      </c>
      <c r="E96" s="17" t="s">
        <v>257</v>
      </c>
      <c r="F96" s="15">
        <v>45728</v>
      </c>
      <c r="G96" s="16">
        <v>45819</v>
      </c>
      <c r="H96" s="20">
        <v>26265000</v>
      </c>
      <c r="I96" s="20">
        <v>8755000</v>
      </c>
      <c r="J96" s="5">
        <v>0</v>
      </c>
      <c r="K96" s="9">
        <f t="shared" si="5"/>
        <v>26265000</v>
      </c>
      <c r="L96" s="14">
        <f t="shared" si="6"/>
        <v>0</v>
      </c>
      <c r="M96" s="11">
        <v>0</v>
      </c>
      <c r="N96" s="12">
        <v>0</v>
      </c>
      <c r="O96" s="3"/>
    </row>
    <row r="97" spans="1:15" ht="75" x14ac:dyDescent="0.25">
      <c r="A97" s="22" t="s">
        <v>301</v>
      </c>
      <c r="B97" s="17">
        <v>1001309821</v>
      </c>
      <c r="C97" s="17">
        <v>3</v>
      </c>
      <c r="D97" s="19" t="s">
        <v>344</v>
      </c>
      <c r="E97" s="17" t="s">
        <v>258</v>
      </c>
      <c r="F97" s="15">
        <v>45728</v>
      </c>
      <c r="G97" s="16">
        <v>46022</v>
      </c>
      <c r="H97" s="20">
        <v>35720400</v>
      </c>
      <c r="I97" s="20">
        <v>3708000</v>
      </c>
      <c r="J97" s="5">
        <v>2348400</v>
      </c>
      <c r="K97" s="9">
        <f t="shared" si="5"/>
        <v>33372000</v>
      </c>
      <c r="L97" s="14">
        <f t="shared" si="6"/>
        <v>6.5743944636678209E-2</v>
      </c>
      <c r="M97" s="11">
        <v>0</v>
      </c>
      <c r="N97" s="12">
        <v>0</v>
      </c>
      <c r="O97" s="3"/>
    </row>
    <row r="98" spans="1:15" ht="60" x14ac:dyDescent="0.25">
      <c r="A98" s="22" t="s">
        <v>302</v>
      </c>
      <c r="B98" s="17">
        <v>1020725505</v>
      </c>
      <c r="C98" s="17">
        <v>3</v>
      </c>
      <c r="D98" s="19" t="s">
        <v>345</v>
      </c>
      <c r="E98" s="17" t="s">
        <v>259</v>
      </c>
      <c r="F98" s="15">
        <v>45730</v>
      </c>
      <c r="G98" s="16">
        <v>46022</v>
      </c>
      <c r="H98" s="20">
        <v>49268333</v>
      </c>
      <c r="I98" s="20">
        <v>5150000</v>
      </c>
      <c r="J98" s="5">
        <v>2918333</v>
      </c>
      <c r="K98" s="9">
        <f t="shared" si="5"/>
        <v>46350000</v>
      </c>
      <c r="L98" s="14">
        <f t="shared" si="6"/>
        <v>5.9233443112434947E-2</v>
      </c>
      <c r="M98" s="11">
        <v>0</v>
      </c>
      <c r="N98" s="12">
        <v>0</v>
      </c>
      <c r="O98" s="3"/>
    </row>
    <row r="99" spans="1:15" ht="75" x14ac:dyDescent="0.25">
      <c r="A99" s="22" t="s">
        <v>303</v>
      </c>
      <c r="B99" s="17">
        <v>1069715425</v>
      </c>
      <c r="C99" s="17">
        <v>8</v>
      </c>
      <c r="D99" s="19" t="s">
        <v>346</v>
      </c>
      <c r="E99" s="17" t="s">
        <v>260</v>
      </c>
      <c r="F99" s="15">
        <v>45730</v>
      </c>
      <c r="G99" s="16">
        <v>45849</v>
      </c>
      <c r="H99" s="20">
        <v>14832000</v>
      </c>
      <c r="I99" s="20">
        <v>3708000</v>
      </c>
      <c r="J99" s="5">
        <v>2101200</v>
      </c>
      <c r="K99" s="9">
        <f t="shared" si="5"/>
        <v>12730800</v>
      </c>
      <c r="L99" s="14">
        <f t="shared" si="6"/>
        <v>0.14166666666666672</v>
      </c>
      <c r="M99" s="11">
        <v>0</v>
      </c>
      <c r="N99" s="12">
        <v>0</v>
      </c>
      <c r="O99" s="3"/>
    </row>
    <row r="100" spans="1:15" ht="60" x14ac:dyDescent="0.25">
      <c r="A100" s="22" t="s">
        <v>304</v>
      </c>
      <c r="B100" s="17">
        <v>1121331082</v>
      </c>
      <c r="C100" s="17">
        <v>4</v>
      </c>
      <c r="D100" s="19" t="s">
        <v>347</v>
      </c>
      <c r="E100" s="17" t="s">
        <v>261</v>
      </c>
      <c r="F100" s="15">
        <v>45730</v>
      </c>
      <c r="G100" s="16">
        <v>45991</v>
      </c>
      <c r="H100" s="20">
        <v>48530166</v>
      </c>
      <c r="I100" s="20">
        <v>5665000</v>
      </c>
      <c r="J100" s="5">
        <v>3210166</v>
      </c>
      <c r="K100" s="9">
        <f t="shared" si="5"/>
        <v>45320000</v>
      </c>
      <c r="L100" s="14">
        <f t="shared" si="6"/>
        <v>6.6147847093702472E-2</v>
      </c>
      <c r="M100" s="11">
        <v>0</v>
      </c>
      <c r="N100" s="12">
        <v>0</v>
      </c>
      <c r="O100" s="3"/>
    </row>
    <row r="101" spans="1:15" ht="45" x14ac:dyDescent="0.25">
      <c r="A101" s="22" t="s">
        <v>305</v>
      </c>
      <c r="B101" s="17">
        <v>1192806892</v>
      </c>
      <c r="C101" s="17">
        <v>1</v>
      </c>
      <c r="D101" s="19" t="s">
        <v>348</v>
      </c>
      <c r="E101" s="17" t="s">
        <v>262</v>
      </c>
      <c r="F101" s="15">
        <v>45729</v>
      </c>
      <c r="G101" s="16">
        <v>45973</v>
      </c>
      <c r="H101" s="20">
        <v>29664000</v>
      </c>
      <c r="I101" s="20">
        <v>3708000</v>
      </c>
      <c r="J101" s="5">
        <v>2224800</v>
      </c>
      <c r="K101" s="9">
        <f t="shared" si="5"/>
        <v>27439200</v>
      </c>
      <c r="L101" s="14">
        <f t="shared" si="6"/>
        <v>7.4999999999999956E-2</v>
      </c>
      <c r="M101" s="11">
        <v>0</v>
      </c>
      <c r="N101" s="12">
        <v>0</v>
      </c>
      <c r="O101" s="3"/>
    </row>
    <row r="102" spans="1:15" ht="75" x14ac:dyDescent="0.25">
      <c r="A102" s="22" t="s">
        <v>306</v>
      </c>
      <c r="B102" s="17">
        <v>1000287647</v>
      </c>
      <c r="C102" s="17">
        <v>8</v>
      </c>
      <c r="D102" s="19" t="s">
        <v>349</v>
      </c>
      <c r="E102" s="17" t="s">
        <v>263</v>
      </c>
      <c r="F102" s="15">
        <v>45735</v>
      </c>
      <c r="G102" s="16">
        <v>46022</v>
      </c>
      <c r="H102" s="20">
        <v>35596800</v>
      </c>
      <c r="I102" s="20">
        <v>3708000</v>
      </c>
      <c r="J102" s="5">
        <v>2224800</v>
      </c>
      <c r="K102" s="9">
        <f t="shared" si="5"/>
        <v>33372000</v>
      </c>
      <c r="L102" s="14">
        <f t="shared" si="6"/>
        <v>6.25E-2</v>
      </c>
      <c r="M102" s="11">
        <v>0</v>
      </c>
      <c r="N102" s="12">
        <v>0</v>
      </c>
      <c r="O102" s="3"/>
    </row>
    <row r="103" spans="1:15" ht="60" x14ac:dyDescent="0.25">
      <c r="A103" s="22" t="s">
        <v>307</v>
      </c>
      <c r="B103" s="17">
        <v>1020828222</v>
      </c>
      <c r="C103" s="17">
        <v>7</v>
      </c>
      <c r="D103" s="19" t="s">
        <v>350</v>
      </c>
      <c r="E103" s="17" t="s">
        <v>264</v>
      </c>
      <c r="F103" s="15">
        <v>45733</v>
      </c>
      <c r="G103" s="16">
        <v>46022</v>
      </c>
      <c r="H103" s="20">
        <v>43878000</v>
      </c>
      <c r="I103" s="20">
        <v>4635000</v>
      </c>
      <c r="J103" s="5">
        <v>2163000</v>
      </c>
      <c r="K103" s="9">
        <f t="shared" si="5"/>
        <v>41715000</v>
      </c>
      <c r="L103" s="14">
        <f t="shared" si="6"/>
        <v>4.9295774647887369E-2</v>
      </c>
      <c r="M103" s="11">
        <v>0</v>
      </c>
      <c r="N103" s="12">
        <v>0</v>
      </c>
      <c r="O103" s="3"/>
    </row>
    <row r="104" spans="1:15" ht="75" x14ac:dyDescent="0.25">
      <c r="A104" s="22" t="s">
        <v>308</v>
      </c>
      <c r="B104" s="17">
        <v>1016102721</v>
      </c>
      <c r="C104" s="17">
        <v>1</v>
      </c>
      <c r="D104" s="19" t="s">
        <v>351</v>
      </c>
      <c r="E104" s="17" t="s">
        <v>265</v>
      </c>
      <c r="F104" s="15">
        <v>45733</v>
      </c>
      <c r="G104" s="16">
        <v>45793</v>
      </c>
      <c r="H104" s="20">
        <v>11330000</v>
      </c>
      <c r="I104" s="20">
        <v>5665000</v>
      </c>
      <c r="J104" s="5">
        <v>2643667</v>
      </c>
      <c r="K104" s="9">
        <f t="shared" si="5"/>
        <v>8686333</v>
      </c>
      <c r="L104" s="14">
        <f t="shared" si="6"/>
        <v>0.23333336275375105</v>
      </c>
      <c r="M104" s="11">
        <v>0</v>
      </c>
      <c r="N104" s="12">
        <v>0</v>
      </c>
      <c r="O104" s="3"/>
    </row>
    <row r="105" spans="1:15" ht="30" x14ac:dyDescent="0.25">
      <c r="A105" s="22" t="s">
        <v>309</v>
      </c>
      <c r="B105" s="23">
        <v>800153993</v>
      </c>
      <c r="C105" s="24">
        <v>7</v>
      </c>
      <c r="D105" s="19" t="s">
        <v>352</v>
      </c>
      <c r="E105" s="17" t="s">
        <v>266</v>
      </c>
      <c r="F105" s="15">
        <v>45733</v>
      </c>
      <c r="G105" s="16">
        <v>46022</v>
      </c>
      <c r="H105" s="20">
        <v>30488024.550000001</v>
      </c>
      <c r="I105" s="20">
        <v>30488024.550000001</v>
      </c>
      <c r="J105" s="5">
        <v>0</v>
      </c>
      <c r="K105" s="9">
        <f t="shared" si="5"/>
        <v>30488024.550000001</v>
      </c>
      <c r="L105" s="14">
        <f t="shared" si="6"/>
        <v>0</v>
      </c>
      <c r="M105" s="11">
        <v>0</v>
      </c>
      <c r="N105" s="12">
        <v>0</v>
      </c>
      <c r="O105" s="3"/>
    </row>
    <row r="106" spans="1:15" ht="60" x14ac:dyDescent="0.25">
      <c r="A106" s="22" t="s">
        <v>310</v>
      </c>
      <c r="B106" s="17">
        <v>36296028</v>
      </c>
      <c r="C106" s="17">
        <v>7</v>
      </c>
      <c r="D106" s="19" t="s">
        <v>353</v>
      </c>
      <c r="E106" s="17" t="s">
        <v>267</v>
      </c>
      <c r="F106" s="15">
        <v>45733</v>
      </c>
      <c r="G106" s="16">
        <v>46022</v>
      </c>
      <c r="H106" s="20">
        <v>88731067</v>
      </c>
      <c r="I106" s="20">
        <v>9373000</v>
      </c>
      <c r="J106" s="5">
        <v>4374067</v>
      </c>
      <c r="K106" s="9">
        <f t="shared" si="5"/>
        <v>84357000</v>
      </c>
      <c r="L106" s="14">
        <f t="shared" si="6"/>
        <v>4.9295778219369368E-2</v>
      </c>
      <c r="M106" s="11">
        <v>0</v>
      </c>
      <c r="N106" s="12">
        <v>0</v>
      </c>
      <c r="O106" s="3"/>
    </row>
    <row r="107" spans="1:15" ht="45" x14ac:dyDescent="0.25">
      <c r="A107" s="22" t="s">
        <v>311</v>
      </c>
      <c r="B107" s="17">
        <v>52977353</v>
      </c>
      <c r="C107" s="17">
        <v>7</v>
      </c>
      <c r="D107" s="19" t="s">
        <v>354</v>
      </c>
      <c r="E107" s="17" t="s">
        <v>268</v>
      </c>
      <c r="F107" s="15">
        <v>45735</v>
      </c>
      <c r="G107" s="16">
        <v>46022</v>
      </c>
      <c r="H107" s="20">
        <v>77730667</v>
      </c>
      <c r="I107" s="20">
        <v>8240000</v>
      </c>
      <c r="J107" s="5">
        <v>3570667</v>
      </c>
      <c r="K107" s="9">
        <f t="shared" si="5"/>
        <v>74160000</v>
      </c>
      <c r="L107" s="14">
        <f t="shared" si="6"/>
        <v>4.5936399851039478E-2</v>
      </c>
      <c r="M107" s="11">
        <v>0</v>
      </c>
      <c r="N107" s="12">
        <v>0</v>
      </c>
      <c r="O107" s="3"/>
    </row>
    <row r="108" spans="1:15" ht="60" x14ac:dyDescent="0.25">
      <c r="A108" s="22" t="s">
        <v>312</v>
      </c>
      <c r="B108" s="17">
        <v>1094926689</v>
      </c>
      <c r="C108" s="17">
        <v>1</v>
      </c>
      <c r="D108" s="19" t="s">
        <v>355</v>
      </c>
      <c r="E108" s="17" t="s">
        <v>269</v>
      </c>
      <c r="F108" s="15">
        <v>45733</v>
      </c>
      <c r="G108" s="16">
        <v>46022</v>
      </c>
      <c r="H108" s="20">
        <v>68254667</v>
      </c>
      <c r="I108" s="20">
        <v>7210000</v>
      </c>
      <c r="J108" s="5">
        <v>3364667</v>
      </c>
      <c r="K108" s="9">
        <f t="shared" si="5"/>
        <v>64890000</v>
      </c>
      <c r="L108" s="14">
        <f t="shared" si="6"/>
        <v>4.9295779290813968E-2</v>
      </c>
      <c r="M108" s="11">
        <v>0</v>
      </c>
      <c r="N108" s="12">
        <v>0</v>
      </c>
      <c r="O108" s="3"/>
    </row>
    <row r="109" spans="1:15" ht="60" x14ac:dyDescent="0.25">
      <c r="A109" s="22" t="s">
        <v>313</v>
      </c>
      <c r="B109" s="17">
        <v>1088019231</v>
      </c>
      <c r="C109" s="17">
        <v>1</v>
      </c>
      <c r="D109" s="19" t="s">
        <v>356</v>
      </c>
      <c r="E109" s="17" t="s">
        <v>270</v>
      </c>
      <c r="F109" s="15">
        <v>45735</v>
      </c>
      <c r="G109" s="16">
        <v>46022</v>
      </c>
      <c r="H109" s="20">
        <v>62933000</v>
      </c>
      <c r="I109" s="20">
        <v>6695000</v>
      </c>
      <c r="J109" s="5">
        <v>0</v>
      </c>
      <c r="K109" s="9">
        <f t="shared" si="5"/>
        <v>62933000</v>
      </c>
      <c r="L109" s="14">
        <f t="shared" si="6"/>
        <v>0</v>
      </c>
      <c r="M109" s="11">
        <v>0</v>
      </c>
      <c r="N109" s="12">
        <v>0</v>
      </c>
      <c r="O109" s="3"/>
    </row>
    <row r="110" spans="1:15" ht="60" x14ac:dyDescent="0.25">
      <c r="A110" s="22" t="s">
        <v>314</v>
      </c>
      <c r="B110" s="17">
        <v>19359588</v>
      </c>
      <c r="C110" s="17">
        <v>1</v>
      </c>
      <c r="D110" s="19" t="s">
        <v>357</v>
      </c>
      <c r="E110" s="17" t="s">
        <v>271</v>
      </c>
      <c r="F110" s="15">
        <v>45737</v>
      </c>
      <c r="G110" s="16">
        <v>46022</v>
      </c>
      <c r="H110" s="20">
        <v>72100000</v>
      </c>
      <c r="I110" s="20">
        <v>7725000</v>
      </c>
      <c r="J110" s="5">
        <v>0</v>
      </c>
      <c r="K110" s="9">
        <f t="shared" si="5"/>
        <v>72100000</v>
      </c>
      <c r="L110" s="14">
        <f t="shared" si="6"/>
        <v>0</v>
      </c>
      <c r="M110" s="11">
        <v>0</v>
      </c>
      <c r="N110" s="12">
        <v>0</v>
      </c>
      <c r="O110" s="3"/>
    </row>
    <row r="111" spans="1:15" ht="60" x14ac:dyDescent="0.25">
      <c r="A111" s="22" t="s">
        <v>315</v>
      </c>
      <c r="B111" s="17">
        <v>52856232</v>
      </c>
      <c r="C111" s="17">
        <v>5</v>
      </c>
      <c r="D111" s="19" t="s">
        <v>358</v>
      </c>
      <c r="E111" s="17" t="s">
        <v>272</v>
      </c>
      <c r="F111" s="15">
        <v>45737</v>
      </c>
      <c r="G111" s="16">
        <v>46022</v>
      </c>
      <c r="H111" s="20">
        <v>35102400</v>
      </c>
      <c r="I111" s="20">
        <v>3722417</v>
      </c>
      <c r="J111" s="5">
        <v>1606800</v>
      </c>
      <c r="K111" s="9">
        <f t="shared" si="5"/>
        <v>33495600</v>
      </c>
      <c r="L111" s="14">
        <f t="shared" si="6"/>
        <v>4.5774647887323994E-2</v>
      </c>
      <c r="M111" s="11">
        <v>0</v>
      </c>
      <c r="N111" s="12">
        <v>0</v>
      </c>
      <c r="O111" s="3"/>
    </row>
    <row r="112" spans="1:15" ht="60" x14ac:dyDescent="0.25">
      <c r="A112" s="22" t="s">
        <v>316</v>
      </c>
      <c r="B112" s="17">
        <v>79912906</v>
      </c>
      <c r="C112" s="17">
        <v>9</v>
      </c>
      <c r="D112" s="19" t="s">
        <v>359</v>
      </c>
      <c r="E112" s="17" t="s">
        <v>273</v>
      </c>
      <c r="F112" s="15">
        <v>45736</v>
      </c>
      <c r="G112" s="16">
        <v>46022</v>
      </c>
      <c r="H112" s="20">
        <v>53062167</v>
      </c>
      <c r="I112" s="20">
        <v>5665000</v>
      </c>
      <c r="J112" s="5">
        <v>2077167</v>
      </c>
      <c r="K112" s="9">
        <f t="shared" si="5"/>
        <v>50985000</v>
      </c>
      <c r="L112" s="14">
        <f t="shared" si="6"/>
        <v>3.9145913509337049E-2</v>
      </c>
      <c r="M112" s="11">
        <v>0</v>
      </c>
      <c r="N112" s="12">
        <v>0</v>
      </c>
      <c r="O112" s="3"/>
    </row>
    <row r="113" spans="1:15" ht="105" x14ac:dyDescent="0.25">
      <c r="A113" s="22" t="s">
        <v>317</v>
      </c>
      <c r="B113" s="17">
        <v>1121335027</v>
      </c>
      <c r="C113" s="17">
        <v>7</v>
      </c>
      <c r="D113" s="19" t="s">
        <v>360</v>
      </c>
      <c r="E113" s="17" t="s">
        <v>274</v>
      </c>
      <c r="F113" s="15">
        <v>45741</v>
      </c>
      <c r="G113" s="16">
        <v>46022</v>
      </c>
      <c r="H113" s="20">
        <v>67533667</v>
      </c>
      <c r="I113" s="20">
        <v>7210000</v>
      </c>
      <c r="J113" s="5">
        <v>2643667</v>
      </c>
      <c r="K113" s="9">
        <f t="shared" si="5"/>
        <v>64890000</v>
      </c>
      <c r="L113" s="14">
        <f t="shared" si="6"/>
        <v>3.9145912215902579E-2</v>
      </c>
      <c r="M113" s="11">
        <v>0</v>
      </c>
      <c r="N113" s="12">
        <v>0</v>
      </c>
      <c r="O113" s="3"/>
    </row>
    <row r="114" spans="1:15" ht="75" x14ac:dyDescent="0.25">
      <c r="A114" s="22" t="s">
        <v>318</v>
      </c>
      <c r="B114" s="17">
        <v>101912047</v>
      </c>
      <c r="C114" s="17">
        <v>6</v>
      </c>
      <c r="D114" s="19" t="s">
        <v>361</v>
      </c>
      <c r="E114" s="17" t="s">
        <v>275</v>
      </c>
      <c r="F114" s="15">
        <v>45741</v>
      </c>
      <c r="G114" s="16">
        <v>46022</v>
      </c>
      <c r="H114" s="20">
        <v>56856000</v>
      </c>
      <c r="I114" s="20">
        <v>6180000</v>
      </c>
      <c r="J114" s="5">
        <v>1236000</v>
      </c>
      <c r="K114" s="9">
        <f t="shared" si="5"/>
        <v>55620000</v>
      </c>
      <c r="L114" s="14">
        <f t="shared" si="6"/>
        <v>2.1739130434782594E-2</v>
      </c>
      <c r="M114" s="11">
        <v>0</v>
      </c>
      <c r="N114" s="12">
        <v>0</v>
      </c>
      <c r="O114" s="3"/>
    </row>
    <row r="115" spans="1:15" ht="60" x14ac:dyDescent="0.25">
      <c r="A115" s="22" t="s">
        <v>319</v>
      </c>
      <c r="B115" s="17">
        <v>1073506407</v>
      </c>
      <c r="C115" s="17">
        <v>3</v>
      </c>
      <c r="D115" s="19" t="s">
        <v>362</v>
      </c>
      <c r="E115" s="17" t="s">
        <v>276</v>
      </c>
      <c r="F115" s="15">
        <v>45741</v>
      </c>
      <c r="G115" s="16">
        <v>45832</v>
      </c>
      <c r="H115" s="20">
        <v>26265000</v>
      </c>
      <c r="I115" s="20">
        <v>8755000</v>
      </c>
      <c r="J115" s="5">
        <v>0</v>
      </c>
      <c r="K115" s="9">
        <f t="shared" si="5"/>
        <v>26265000</v>
      </c>
      <c r="L115" s="14">
        <f t="shared" si="6"/>
        <v>0</v>
      </c>
      <c r="M115" s="11">
        <v>0</v>
      </c>
      <c r="N115" s="12">
        <v>0</v>
      </c>
      <c r="O115" s="3"/>
    </row>
    <row r="116" spans="1:15" ht="60" x14ac:dyDescent="0.25">
      <c r="A116" s="22" t="s">
        <v>320</v>
      </c>
      <c r="B116" s="17">
        <v>52823212</v>
      </c>
      <c r="C116" s="17">
        <v>6</v>
      </c>
      <c r="D116" s="19" t="s">
        <v>363</v>
      </c>
      <c r="E116" s="17" t="s">
        <v>277</v>
      </c>
      <c r="F116" s="15">
        <v>45741</v>
      </c>
      <c r="G116" s="16">
        <v>46022</v>
      </c>
      <c r="H116" s="20">
        <v>56856000</v>
      </c>
      <c r="I116" s="20">
        <v>6180000</v>
      </c>
      <c r="J116" s="5">
        <v>1236000</v>
      </c>
      <c r="K116" s="9">
        <f t="shared" si="5"/>
        <v>55620000</v>
      </c>
      <c r="L116" s="14">
        <f t="shared" si="6"/>
        <v>2.1739130434782594E-2</v>
      </c>
      <c r="M116" s="11">
        <v>0</v>
      </c>
      <c r="N116" s="12">
        <v>0</v>
      </c>
      <c r="O116" s="3"/>
    </row>
    <row r="117" spans="1:15" ht="60" x14ac:dyDescent="0.25">
      <c r="A117" s="22" t="s">
        <v>321</v>
      </c>
      <c r="B117" s="17">
        <v>91430804</v>
      </c>
      <c r="C117" s="17">
        <v>0</v>
      </c>
      <c r="D117" s="19" t="s">
        <v>364</v>
      </c>
      <c r="E117" s="17" t="s">
        <v>278</v>
      </c>
      <c r="F117" s="15">
        <v>45743</v>
      </c>
      <c r="G117" s="16">
        <v>46022</v>
      </c>
      <c r="H117" s="20">
        <v>47036667</v>
      </c>
      <c r="I117" s="20">
        <v>5150000</v>
      </c>
      <c r="J117" s="5">
        <v>0</v>
      </c>
      <c r="K117" s="9">
        <f t="shared" si="5"/>
        <v>47036667</v>
      </c>
      <c r="L117" s="14">
        <f t="shared" si="6"/>
        <v>0</v>
      </c>
      <c r="M117" s="11">
        <v>0</v>
      </c>
      <c r="N117" s="12">
        <v>0</v>
      </c>
      <c r="O117" s="3"/>
    </row>
    <row r="118" spans="1:15" ht="75" x14ac:dyDescent="0.25">
      <c r="A118" s="22" t="s">
        <v>322</v>
      </c>
      <c r="B118" s="17">
        <v>52904871</v>
      </c>
      <c r="C118" s="17">
        <v>8</v>
      </c>
      <c r="D118" s="19" t="s">
        <v>365</v>
      </c>
      <c r="E118" s="17" t="s">
        <v>279</v>
      </c>
      <c r="F118" s="15">
        <v>45743</v>
      </c>
      <c r="G118" s="16">
        <v>45803</v>
      </c>
      <c r="H118" s="20">
        <v>18746000</v>
      </c>
      <c r="I118" s="20">
        <v>9373000</v>
      </c>
      <c r="J118" s="5">
        <v>0</v>
      </c>
      <c r="K118" s="9">
        <f t="shared" si="5"/>
        <v>18746000</v>
      </c>
      <c r="L118" s="14">
        <f t="shared" si="6"/>
        <v>0</v>
      </c>
      <c r="M118" s="11">
        <v>0</v>
      </c>
      <c r="N118" s="12">
        <v>0</v>
      </c>
      <c r="O118" s="3"/>
    </row>
    <row r="119" spans="1:15" ht="75" x14ac:dyDescent="0.25">
      <c r="A119" s="22" t="s">
        <v>323</v>
      </c>
      <c r="B119" s="17">
        <v>52696298</v>
      </c>
      <c r="C119" s="17">
        <v>3</v>
      </c>
      <c r="D119" s="19" t="s">
        <v>366</v>
      </c>
      <c r="E119" s="17" t="s">
        <v>280</v>
      </c>
      <c r="F119" s="15">
        <v>45744</v>
      </c>
      <c r="G119" s="16">
        <v>46018</v>
      </c>
      <c r="H119" s="20">
        <v>101970000</v>
      </c>
      <c r="I119" s="20">
        <v>11330000</v>
      </c>
      <c r="J119" s="5">
        <v>0</v>
      </c>
      <c r="K119" s="9">
        <f t="shared" si="5"/>
        <v>101970000</v>
      </c>
      <c r="L119" s="14">
        <f t="shared" si="6"/>
        <v>0</v>
      </c>
      <c r="M119" s="11">
        <v>0</v>
      </c>
      <c r="N119" s="12">
        <v>0</v>
      </c>
      <c r="O119" s="3"/>
    </row>
    <row r="120" spans="1:15" ht="105" x14ac:dyDescent="0.25">
      <c r="A120" s="22" t="s">
        <v>324</v>
      </c>
      <c r="B120" s="17">
        <v>93356952</v>
      </c>
      <c r="C120" s="17">
        <v>3</v>
      </c>
      <c r="D120" s="19" t="s">
        <v>367</v>
      </c>
      <c r="E120" s="17" t="s">
        <v>281</v>
      </c>
      <c r="F120" s="15">
        <v>45744</v>
      </c>
      <c r="G120" s="16">
        <v>45804</v>
      </c>
      <c r="H120" s="20">
        <v>14420000</v>
      </c>
      <c r="I120" s="20">
        <v>7210000</v>
      </c>
      <c r="J120" s="5">
        <v>721000</v>
      </c>
      <c r="K120" s="9">
        <f t="shared" si="5"/>
        <v>13699000</v>
      </c>
      <c r="L120" s="14">
        <f t="shared" si="6"/>
        <v>5.0000000000000044E-2</v>
      </c>
      <c r="M120" s="11">
        <v>0</v>
      </c>
      <c r="N120" s="12">
        <v>0</v>
      </c>
      <c r="O120" s="3"/>
    </row>
    <row r="121" spans="1:15" ht="105" x14ac:dyDescent="0.25">
      <c r="A121" s="22" t="s">
        <v>325</v>
      </c>
      <c r="B121" s="17">
        <v>1049640069</v>
      </c>
      <c r="C121" s="17">
        <v>2</v>
      </c>
      <c r="D121" s="19" t="s">
        <v>368</v>
      </c>
      <c r="E121" s="26" t="s">
        <v>282</v>
      </c>
      <c r="F121" s="15">
        <v>45744</v>
      </c>
      <c r="G121" s="16">
        <v>45804</v>
      </c>
      <c r="H121" s="20">
        <v>14420000</v>
      </c>
      <c r="I121" s="20">
        <v>7210000</v>
      </c>
      <c r="J121" s="5">
        <v>721000</v>
      </c>
      <c r="K121" s="9">
        <f t="shared" si="5"/>
        <v>13699000</v>
      </c>
      <c r="L121" s="14">
        <f t="shared" si="6"/>
        <v>5.0000000000000044E-2</v>
      </c>
      <c r="M121" s="11">
        <v>0</v>
      </c>
      <c r="N121" s="12">
        <v>0</v>
      </c>
      <c r="O121" s="3"/>
    </row>
    <row r="122" spans="1:15" ht="75" x14ac:dyDescent="0.25">
      <c r="A122" s="22" t="s">
        <v>15</v>
      </c>
      <c r="B122" s="17">
        <v>1081817848</v>
      </c>
      <c r="C122" s="17">
        <v>1</v>
      </c>
      <c r="D122" s="19" t="s">
        <v>374</v>
      </c>
      <c r="E122" s="26" t="s">
        <v>375</v>
      </c>
      <c r="F122" s="15">
        <v>45750</v>
      </c>
      <c r="G122" s="16">
        <v>46022</v>
      </c>
      <c r="H122" s="20">
        <v>74709334</v>
      </c>
      <c r="I122" s="20">
        <v>8755000</v>
      </c>
      <c r="J122" s="5">
        <v>2042833</v>
      </c>
      <c r="K122" s="9">
        <f t="shared" ref="K122" si="7">H122-J122</f>
        <v>72666501</v>
      </c>
      <c r="L122" s="14">
        <f t="shared" ref="L122" si="8">1-(K122/H122)</f>
        <v>2.7343745294262645E-2</v>
      </c>
      <c r="M122" s="11">
        <v>0</v>
      </c>
      <c r="N122" s="12">
        <v>0</v>
      </c>
      <c r="O122" s="3"/>
    </row>
  </sheetData>
  <autoFilter ref="A1:O8" xr:uid="{00000000-0009-0000-0000-000000000000}">
    <filterColumn colId="11">
      <filters>
        <filter val="100,00%"/>
      </filters>
    </filterColumn>
  </autoFilter>
  <dataValidations count="3">
    <dataValidation allowBlank="1" showInputMessage="1" showErrorMessage="1" sqref="A8:A18" xr:uid="{A05D3881-3C3F-4736-8FA2-285B4EB7EBAC}"/>
    <dataValidation type="date" allowBlank="1" showInputMessage="1" showErrorMessage="1" sqref="F5:F6" xr:uid="{E2E69A9D-237C-485D-94FE-B94083C8A277}">
      <formula1>45292</formula1>
      <formula2>45657</formula2>
    </dataValidation>
    <dataValidation type="date" operator="greaterThan" allowBlank="1" showInputMessage="1" showErrorMessage="1" sqref="G5:G6" xr:uid="{1DA9F689-DE52-461B-BA6B-911900D9927E}">
      <formula1>44927</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E32AC9-F128-4F60-AAD3-78227CE054B3}">
  <ds:schemaRefs>
    <ds:schemaRef ds:uri="http://schemas.microsoft.com/office/2006/documentManagement/types"/>
    <ds:schemaRef ds:uri="http://purl.org/dc/elements/1.1/"/>
    <ds:schemaRef ds:uri="http://purl.org/dc/terms/"/>
    <ds:schemaRef ds:uri="68da5f85-e182-4cd5-ad53-4b88b7fa14a8"/>
    <ds:schemaRef ds:uri="http://schemas.microsoft.com/office/infopath/2007/PartnerControls"/>
    <ds:schemaRef ds:uri="http://www.w3.org/XML/1998/namespace"/>
    <ds:schemaRef ds:uri="http://schemas.openxmlformats.org/package/2006/metadata/core-properties"/>
    <ds:schemaRef ds:uri="fc9bb637-31a1-45e3-99d8-5503741ee48a"/>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3.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2025-06-17T23:35:06Z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