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Volumes/TOSHIBA EXT/COMPUTADOR MESA/Trabajo/2. Publicaciones pagina web/Ejecución/"/>
    </mc:Choice>
  </mc:AlternateContent>
  <xr:revisionPtr revIDLastSave="0" documentId="13_ncr:1_{841785A5-BFD1-3A41-907B-4A05CFE9D9A5}" xr6:coauthVersionLast="47" xr6:coauthVersionMax="47" xr10:uidLastSave="{00000000-0000-0000-0000-000000000000}"/>
  <bookViews>
    <workbookView xWindow="0" yWindow="500" windowWidth="38400" windowHeight="19420" xr2:uid="{00000000-000D-0000-FFFF-FFFF00000000}"/>
  </bookViews>
  <sheets>
    <sheet name="Hoja1" sheetId="2" r:id="rId1"/>
  </sheets>
  <definedNames>
    <definedName name="_xlnm._FilterDatabase" localSheetId="0" hidden="1">Hoja1!$A$1:$O$505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445" i="2" l="1"/>
  <c r="J442" i="2"/>
  <c r="J421" i="2"/>
  <c r="J406" i="2"/>
  <c r="J367" i="2"/>
  <c r="J365" i="2"/>
  <c r="J345" i="2"/>
  <c r="J333" i="2"/>
  <c r="J317" i="2"/>
  <c r="J290" i="2"/>
  <c r="K290" i="2" s="1"/>
  <c r="J277" i="2"/>
  <c r="J204" i="2"/>
  <c r="J202" i="2"/>
  <c r="K202" i="2"/>
  <c r="J505" i="2"/>
  <c r="J504" i="2"/>
  <c r="J502" i="2"/>
  <c r="J499" i="2"/>
  <c r="J498" i="2"/>
  <c r="J494" i="2"/>
  <c r="J493" i="2"/>
  <c r="J492" i="2"/>
  <c r="J491" i="2"/>
  <c r="J489" i="2"/>
  <c r="J487" i="2"/>
  <c r="J486" i="2"/>
  <c r="J485" i="2"/>
  <c r="J484" i="2"/>
  <c r="J482" i="2"/>
  <c r="J481" i="2"/>
  <c r="J480" i="2"/>
  <c r="J479" i="2"/>
  <c r="J478" i="2"/>
  <c r="J477" i="2"/>
  <c r="J472" i="2"/>
  <c r="J470" i="2"/>
  <c r="J469" i="2"/>
  <c r="J467" i="2"/>
  <c r="J466" i="2"/>
  <c r="J454" i="2"/>
  <c r="J450" i="2"/>
  <c r="J449" i="2"/>
  <c r="J448" i="2"/>
  <c r="J447" i="2"/>
  <c r="J446" i="2"/>
  <c r="J441" i="2"/>
  <c r="J440" i="2"/>
  <c r="J438" i="2"/>
  <c r="J436" i="2"/>
  <c r="J435" i="2"/>
  <c r="J434" i="2"/>
  <c r="J433" i="2"/>
  <c r="J428" i="2"/>
  <c r="J427" i="2"/>
  <c r="J426" i="2"/>
  <c r="J425" i="2"/>
  <c r="J424" i="2"/>
  <c r="J420" i="2"/>
  <c r="J419" i="2"/>
  <c r="J416" i="2"/>
  <c r="J415" i="2"/>
  <c r="J414" i="2"/>
  <c r="J413" i="2"/>
  <c r="J412" i="2"/>
  <c r="J411" i="2"/>
  <c r="J408" i="2"/>
  <c r="J407" i="2"/>
  <c r="J405" i="2"/>
  <c r="J404" i="2"/>
  <c r="J403" i="2"/>
  <c r="J402" i="2"/>
  <c r="J401" i="2"/>
  <c r="J400" i="2"/>
  <c r="J399" i="2"/>
  <c r="J398" i="2"/>
  <c r="J397" i="2"/>
  <c r="J396" i="2"/>
  <c r="J395" i="2"/>
  <c r="J394" i="2"/>
  <c r="J393" i="2"/>
  <c r="J390" i="2"/>
  <c r="J389" i="2"/>
  <c r="J386" i="2"/>
  <c r="J384" i="2"/>
  <c r="J383" i="2"/>
  <c r="J382" i="2"/>
  <c r="J381" i="2"/>
  <c r="J380" i="2"/>
  <c r="J379" i="2"/>
  <c r="J377" i="2"/>
  <c r="J376" i="2"/>
  <c r="J375" i="2"/>
  <c r="J374" i="2"/>
  <c r="J373" i="2"/>
  <c r="J372" i="2"/>
  <c r="J371" i="2"/>
  <c r="J370" i="2"/>
  <c r="J363" i="2"/>
  <c r="J362" i="2"/>
  <c r="J361" i="2"/>
  <c r="J360" i="2"/>
  <c r="J359" i="2"/>
  <c r="J358" i="2"/>
  <c r="J357" i="2"/>
  <c r="J356" i="2"/>
  <c r="J355" i="2"/>
  <c r="J354" i="2"/>
  <c r="J353" i="2"/>
  <c r="J352" i="2"/>
  <c r="J351" i="2"/>
  <c r="J349" i="2"/>
  <c r="J348" i="2"/>
  <c r="J347" i="2"/>
  <c r="J346" i="2"/>
  <c r="J344" i="2"/>
  <c r="J343" i="2"/>
  <c r="J342" i="2"/>
  <c r="J341" i="2"/>
  <c r="J340" i="2"/>
  <c r="J339" i="2"/>
  <c r="J336" i="2"/>
  <c r="J334" i="2"/>
  <c r="J331" i="2"/>
  <c r="J330" i="2"/>
  <c r="J329" i="2"/>
  <c r="J328" i="2"/>
  <c r="J327" i="2"/>
  <c r="J326" i="2"/>
  <c r="J325" i="2"/>
  <c r="J324" i="2"/>
  <c r="J323" i="2"/>
  <c r="J322" i="2"/>
  <c r="J321" i="2"/>
  <c r="J320" i="2"/>
  <c r="J318" i="2"/>
  <c r="J316" i="2"/>
  <c r="J315" i="2"/>
  <c r="J314" i="2"/>
  <c r="J313" i="2"/>
  <c r="J312" i="2"/>
  <c r="J311" i="2"/>
  <c r="J310" i="2"/>
  <c r="J307" i="2"/>
  <c r="J306" i="2"/>
  <c r="J305" i="2"/>
  <c r="J304" i="2"/>
  <c r="J303" i="2"/>
  <c r="J302" i="2"/>
  <c r="J300" i="2"/>
  <c r="J299" i="2"/>
  <c r="J298" i="2"/>
  <c r="J295" i="2"/>
  <c r="J294" i="2"/>
  <c r="J293" i="2"/>
  <c r="J292" i="2"/>
  <c r="J289" i="2"/>
  <c r="J287" i="2"/>
  <c r="J286" i="2"/>
  <c r="J285" i="2"/>
  <c r="J284" i="2"/>
  <c r="J283" i="2"/>
  <c r="J282" i="2"/>
  <c r="J281" i="2"/>
  <c r="J280" i="2"/>
  <c r="J279" i="2"/>
  <c r="J278" i="2"/>
  <c r="J276" i="2"/>
  <c r="J275" i="2"/>
  <c r="J274" i="2"/>
  <c r="J272" i="2"/>
  <c r="J271" i="2"/>
  <c r="J270" i="2"/>
  <c r="J269" i="2"/>
  <c r="J268" i="2"/>
  <c r="J267" i="2"/>
  <c r="J266" i="2"/>
  <c r="J263" i="2"/>
  <c r="J262" i="2"/>
  <c r="J261" i="2"/>
  <c r="J260" i="2"/>
  <c r="J259" i="2"/>
  <c r="J257" i="2"/>
  <c r="J255" i="2"/>
  <c r="J254" i="2"/>
  <c r="J253" i="2"/>
  <c r="J252" i="2"/>
  <c r="J250" i="2"/>
  <c r="J249" i="2"/>
  <c r="J248" i="2"/>
  <c r="J247" i="2"/>
  <c r="J246" i="2"/>
  <c r="J244" i="2"/>
  <c r="J243" i="2"/>
  <c r="J242" i="2"/>
  <c r="J240" i="2"/>
  <c r="J239" i="2"/>
  <c r="J238" i="2"/>
  <c r="J237" i="2"/>
  <c r="J236" i="2"/>
  <c r="J235" i="2"/>
  <c r="J234" i="2"/>
  <c r="J233" i="2"/>
  <c r="J232" i="2"/>
  <c r="J231" i="2"/>
  <c r="J230" i="2"/>
  <c r="J228" i="2"/>
  <c r="J227" i="2"/>
  <c r="J226" i="2"/>
  <c r="J225" i="2"/>
  <c r="J224" i="2"/>
  <c r="J223" i="2"/>
  <c r="J222" i="2"/>
  <c r="J221" i="2"/>
  <c r="J220" i="2"/>
  <c r="J219" i="2"/>
  <c r="J218" i="2"/>
  <c r="J217" i="2"/>
  <c r="J216" i="2"/>
  <c r="J215" i="2"/>
  <c r="J214" i="2"/>
  <c r="J212" i="2"/>
  <c r="J210" i="2"/>
  <c r="J209" i="2"/>
  <c r="J207" i="2"/>
  <c r="J206" i="2"/>
  <c r="J205" i="2"/>
  <c r="J203" i="2"/>
  <c r="J201" i="2"/>
  <c r="J199" i="2"/>
  <c r="J198" i="2"/>
  <c r="J197" i="2"/>
  <c r="J196" i="2"/>
  <c r="J192" i="2"/>
  <c r="J191" i="2"/>
  <c r="J190" i="2"/>
  <c r="J188" i="2"/>
  <c r="J187" i="2"/>
  <c r="J186" i="2"/>
  <c r="J185" i="2"/>
  <c r="J184" i="2"/>
  <c r="J182" i="2"/>
  <c r="J180" i="2"/>
  <c r="J179" i="2"/>
  <c r="J178" i="2"/>
  <c r="J175" i="2"/>
  <c r="J174" i="2"/>
  <c r="J173" i="2"/>
  <c r="J172" i="2"/>
  <c r="J167" i="2"/>
  <c r="J165" i="2"/>
  <c r="J164" i="2"/>
  <c r="J163" i="2"/>
  <c r="J162" i="2"/>
  <c r="J161" i="2"/>
  <c r="J160" i="2"/>
  <c r="J158" i="2"/>
  <c r="J157" i="2"/>
  <c r="J156" i="2"/>
  <c r="J155" i="2"/>
  <c r="J154" i="2"/>
  <c r="J153" i="2"/>
  <c r="J151" i="2"/>
  <c r="J150" i="2"/>
  <c r="J149" i="2"/>
  <c r="J148" i="2"/>
  <c r="J144" i="2"/>
  <c r="J143" i="2"/>
  <c r="J142" i="2"/>
  <c r="J140" i="2"/>
  <c r="J138" i="2"/>
  <c r="J137" i="2"/>
  <c r="J135" i="2"/>
  <c r="J134" i="2"/>
  <c r="J132" i="2"/>
  <c r="J131" i="2"/>
  <c r="J130" i="2"/>
  <c r="J128" i="2"/>
  <c r="J125" i="2"/>
  <c r="J124" i="2"/>
  <c r="J122" i="2"/>
  <c r="J121" i="2"/>
  <c r="J118" i="2"/>
  <c r="J117" i="2"/>
  <c r="J116" i="2"/>
  <c r="J115" i="2"/>
  <c r="J114" i="2"/>
  <c r="J113" i="2"/>
  <c r="J112" i="2"/>
  <c r="J111" i="2"/>
  <c r="J108" i="2"/>
  <c r="J107" i="2"/>
  <c r="J106" i="2"/>
  <c r="J105" i="2"/>
  <c r="J103" i="2"/>
  <c r="J102" i="2"/>
  <c r="J98" i="2"/>
  <c r="J93" i="2"/>
  <c r="J92" i="2"/>
  <c r="J90" i="2"/>
  <c r="J84" i="2"/>
  <c r="J83" i="2"/>
  <c r="J74" i="2"/>
  <c r="J71" i="2"/>
  <c r="J70" i="2"/>
  <c r="K70" i="2" s="1"/>
  <c r="J55" i="2"/>
  <c r="J43" i="2"/>
  <c r="J30" i="2"/>
  <c r="J465" i="2"/>
  <c r="J483" i="2"/>
  <c r="K483" i="2" s="1"/>
  <c r="L483" i="2" s="1"/>
  <c r="J194" i="2"/>
  <c r="J387" i="2"/>
  <c r="J82" i="2"/>
  <c r="J8" i="2"/>
  <c r="J7" i="2"/>
  <c r="J6" i="2"/>
  <c r="J2" i="2"/>
  <c r="J264" i="2"/>
  <c r="J48" i="2"/>
  <c r="J35" i="2"/>
  <c r="J460" i="2"/>
  <c r="K460" i="2" s="1"/>
  <c r="L460" i="2" s="1"/>
  <c r="J459" i="2"/>
  <c r="J458" i="2"/>
  <c r="K458" i="2" s="1"/>
  <c r="L458" i="2" s="1"/>
  <c r="J457" i="2"/>
  <c r="J456" i="2"/>
  <c r="K456" i="2" s="1"/>
  <c r="L456" i="2" s="1"/>
  <c r="J455" i="2"/>
  <c r="K455" i="2" s="1"/>
  <c r="L455" i="2" s="1"/>
  <c r="J451" i="2"/>
  <c r="J437" i="2"/>
  <c r="K437" i="2" s="1"/>
  <c r="J110" i="2"/>
  <c r="J453" i="2"/>
  <c r="J200" i="2"/>
  <c r="J19" i="2"/>
  <c r="J16" i="2"/>
  <c r="J15" i="2"/>
  <c r="J14" i="2"/>
  <c r="K505" i="2"/>
  <c r="L505" i="2" s="1"/>
  <c r="K503" i="2"/>
  <c r="L503" i="2" s="1"/>
  <c r="K504" i="2"/>
  <c r="L504" i="2" s="1"/>
  <c r="K494" i="2"/>
  <c r="L494" i="2" s="1"/>
  <c r="K493" i="2"/>
  <c r="L493" i="2" s="1"/>
  <c r="K489" i="2"/>
  <c r="L489" i="2" s="1"/>
  <c r="K477" i="2"/>
  <c r="L477" i="2" s="1"/>
  <c r="K467" i="2"/>
  <c r="L467" i="2" s="1"/>
  <c r="K466" i="2"/>
  <c r="L466" i="2" s="1"/>
  <c r="K457" i="2"/>
  <c r="L457" i="2" s="1"/>
  <c r="K459" i="2"/>
  <c r="L459" i="2" s="1"/>
  <c r="K461" i="2"/>
  <c r="L461" i="2" s="1"/>
  <c r="K462" i="2"/>
  <c r="L462" i="2" s="1"/>
  <c r="K463" i="2"/>
  <c r="L463" i="2" s="1"/>
  <c r="K464" i="2"/>
  <c r="L464" i="2" s="1"/>
  <c r="K465" i="2"/>
  <c r="L465" i="2" s="1"/>
  <c r="K468" i="2"/>
  <c r="L468" i="2" s="1"/>
  <c r="K469" i="2"/>
  <c r="L469" i="2" s="1"/>
  <c r="K470" i="2"/>
  <c r="L470" i="2" s="1"/>
  <c r="K471" i="2"/>
  <c r="L471" i="2" s="1"/>
  <c r="K472" i="2"/>
  <c r="L472" i="2" s="1"/>
  <c r="K473" i="2"/>
  <c r="L473" i="2" s="1"/>
  <c r="K474" i="2"/>
  <c r="L474" i="2" s="1"/>
  <c r="K475" i="2"/>
  <c r="L475" i="2" s="1"/>
  <c r="K476" i="2"/>
  <c r="L476" i="2" s="1"/>
  <c r="K478" i="2"/>
  <c r="L478" i="2" s="1"/>
  <c r="K479" i="2"/>
  <c r="L479" i="2" s="1"/>
  <c r="K480" i="2"/>
  <c r="L480" i="2" s="1"/>
  <c r="K481" i="2"/>
  <c r="L481" i="2" s="1"/>
  <c r="K482" i="2"/>
  <c r="L482" i="2" s="1"/>
  <c r="K484" i="2"/>
  <c r="L484" i="2" s="1"/>
  <c r="K485" i="2"/>
  <c r="L485" i="2" s="1"/>
  <c r="K486" i="2"/>
  <c r="L486" i="2" s="1"/>
  <c r="K487" i="2"/>
  <c r="L487" i="2" s="1"/>
  <c r="K488" i="2"/>
  <c r="L488" i="2" s="1"/>
  <c r="K490" i="2"/>
  <c r="L490" i="2" s="1"/>
  <c r="K491" i="2"/>
  <c r="L491" i="2" s="1"/>
  <c r="K492" i="2"/>
  <c r="L492" i="2" s="1"/>
  <c r="K495" i="2"/>
  <c r="L495" i="2" s="1"/>
  <c r="K496" i="2"/>
  <c r="L496" i="2" s="1"/>
  <c r="K497" i="2"/>
  <c r="L497" i="2" s="1"/>
  <c r="K498" i="2"/>
  <c r="L498" i="2" s="1"/>
  <c r="K499" i="2"/>
  <c r="L499" i="2" s="1"/>
  <c r="K500" i="2"/>
  <c r="L500" i="2" s="1"/>
  <c r="K501" i="2"/>
  <c r="L501" i="2" s="1"/>
  <c r="K502" i="2"/>
  <c r="L502" i="2" s="1"/>
  <c r="K454" i="2"/>
  <c r="K242" i="2"/>
  <c r="K219" i="2"/>
  <c r="K190" i="2"/>
  <c r="K387" i="2" l="1"/>
  <c r="L387" i="2" s="1"/>
  <c r="J9" i="2"/>
  <c r="K110" i="2"/>
  <c r="J5" i="2"/>
  <c r="J4" i="2"/>
  <c r="K161" i="2"/>
  <c r="J11" i="2"/>
  <c r="J337" i="2"/>
  <c r="K367" i="2"/>
  <c r="L367" i="2" s="1"/>
  <c r="K394" i="2"/>
  <c r="L394" i="2" s="1"/>
  <c r="K395" i="2"/>
  <c r="L395" i="2" s="1"/>
  <c r="K396" i="2"/>
  <c r="L396" i="2" s="1"/>
  <c r="K397" i="2"/>
  <c r="L397" i="2" s="1"/>
  <c r="K398" i="2"/>
  <c r="L398" i="2" s="1"/>
  <c r="K399" i="2"/>
  <c r="L399" i="2" s="1"/>
  <c r="K400" i="2"/>
  <c r="L400" i="2" s="1"/>
  <c r="K401" i="2"/>
  <c r="L401" i="2" s="1"/>
  <c r="K402" i="2"/>
  <c r="L402" i="2" s="1"/>
  <c r="K403" i="2"/>
  <c r="L403" i="2" s="1"/>
  <c r="K404" i="2"/>
  <c r="L404" i="2" s="1"/>
  <c r="K405" i="2"/>
  <c r="L405" i="2" s="1"/>
  <c r="K406" i="2"/>
  <c r="L406" i="2" s="1"/>
  <c r="K407" i="2"/>
  <c r="L407" i="2" s="1"/>
  <c r="K408" i="2"/>
  <c r="L408" i="2" s="1"/>
  <c r="K409" i="2"/>
  <c r="L409" i="2" s="1"/>
  <c r="K410" i="2"/>
  <c r="L410" i="2" s="1"/>
  <c r="K411" i="2"/>
  <c r="L411" i="2" s="1"/>
  <c r="K412" i="2"/>
  <c r="L412" i="2" s="1"/>
  <c r="K413" i="2"/>
  <c r="L413" i="2" s="1"/>
  <c r="K414" i="2"/>
  <c r="L414" i="2" s="1"/>
  <c r="K415" i="2"/>
  <c r="L415" i="2" s="1"/>
  <c r="K416" i="2"/>
  <c r="L416" i="2" s="1"/>
  <c r="K417" i="2"/>
  <c r="L417" i="2" s="1"/>
  <c r="K418" i="2"/>
  <c r="L418" i="2" s="1"/>
  <c r="K419" i="2"/>
  <c r="L419" i="2" s="1"/>
  <c r="K420" i="2"/>
  <c r="L420" i="2" s="1"/>
  <c r="K421" i="2"/>
  <c r="L421" i="2" s="1"/>
  <c r="K422" i="2"/>
  <c r="L422" i="2" s="1"/>
  <c r="K423" i="2"/>
  <c r="L423" i="2" s="1"/>
  <c r="K424" i="2"/>
  <c r="L424" i="2" s="1"/>
  <c r="K425" i="2"/>
  <c r="L425" i="2" s="1"/>
  <c r="K426" i="2"/>
  <c r="L426" i="2" s="1"/>
  <c r="K427" i="2"/>
  <c r="L427" i="2" s="1"/>
  <c r="K428" i="2"/>
  <c r="L428" i="2" s="1"/>
  <c r="K429" i="2"/>
  <c r="L429" i="2" s="1"/>
  <c r="K430" i="2"/>
  <c r="L430" i="2" s="1"/>
  <c r="K431" i="2"/>
  <c r="L431" i="2" s="1"/>
  <c r="K432" i="2"/>
  <c r="L432" i="2" s="1"/>
  <c r="K433" i="2"/>
  <c r="L433" i="2" s="1"/>
  <c r="K434" i="2"/>
  <c r="L434" i="2" s="1"/>
  <c r="K435" i="2"/>
  <c r="L435" i="2" s="1"/>
  <c r="K436" i="2"/>
  <c r="L436" i="2" s="1"/>
  <c r="L437" i="2"/>
  <c r="K438" i="2"/>
  <c r="L438" i="2" s="1"/>
  <c r="K439" i="2"/>
  <c r="L439" i="2" s="1"/>
  <c r="K440" i="2"/>
  <c r="L440" i="2" s="1"/>
  <c r="K441" i="2"/>
  <c r="L441" i="2" s="1"/>
  <c r="K442" i="2"/>
  <c r="L442" i="2" s="1"/>
  <c r="K443" i="2"/>
  <c r="L443" i="2" s="1"/>
  <c r="K444" i="2"/>
  <c r="L444" i="2" s="1"/>
  <c r="K445" i="2"/>
  <c r="L445" i="2" s="1"/>
  <c r="K446" i="2"/>
  <c r="L446" i="2" s="1"/>
  <c r="K447" i="2"/>
  <c r="L447" i="2" s="1"/>
  <c r="K448" i="2"/>
  <c r="L448" i="2" s="1"/>
  <c r="K449" i="2"/>
  <c r="L449" i="2" s="1"/>
  <c r="K450" i="2"/>
  <c r="L450" i="2" s="1"/>
  <c r="K451" i="2"/>
  <c r="L451" i="2" s="1"/>
  <c r="K452" i="2"/>
  <c r="L452" i="2" s="1"/>
  <c r="K453" i="2"/>
  <c r="L453" i="2" s="1"/>
  <c r="L454" i="2"/>
  <c r="K389" i="2"/>
  <c r="L389" i="2" s="1"/>
  <c r="K384" i="2"/>
  <c r="L384" i="2" s="1"/>
  <c r="K383" i="2"/>
  <c r="L383" i="2" s="1"/>
  <c r="K382" i="2"/>
  <c r="L382" i="2" s="1"/>
  <c r="K381" i="2"/>
  <c r="L381" i="2" s="1"/>
  <c r="K380" i="2"/>
  <c r="L380" i="2" s="1"/>
  <c r="K379" i="2"/>
  <c r="L379" i="2" s="1"/>
  <c r="K376" i="2"/>
  <c r="L376" i="2" s="1"/>
  <c r="K375" i="2"/>
  <c r="L375" i="2" s="1"/>
  <c r="K374" i="2"/>
  <c r="L374" i="2" s="1"/>
  <c r="K373" i="2"/>
  <c r="L373" i="2" s="1"/>
  <c r="K372" i="2"/>
  <c r="L372" i="2" s="1"/>
  <c r="K371" i="2"/>
  <c r="L371" i="2" s="1"/>
  <c r="K370" i="2"/>
  <c r="L370" i="2" s="1"/>
  <c r="J332" i="2"/>
  <c r="K324" i="2"/>
  <c r="K323" i="2"/>
  <c r="K302" i="2"/>
  <c r="J291" i="2"/>
  <c r="K289" i="2"/>
  <c r="J288" i="2"/>
  <c r="K277" i="2"/>
  <c r="K266" i="2"/>
  <c r="J256" i="2"/>
  <c r="K228" i="2"/>
  <c r="K164" i="2"/>
  <c r="K215" i="2"/>
  <c r="J211" i="2"/>
  <c r="J181" i="2"/>
  <c r="J147" i="2"/>
  <c r="K116" i="2"/>
  <c r="J56" i="2"/>
  <c r="J50" i="2"/>
  <c r="K30" i="2"/>
  <c r="J20" i="2"/>
  <c r="J168" i="2"/>
  <c r="J171" i="2"/>
  <c r="J366" i="2"/>
  <c r="K366" i="2" s="1"/>
  <c r="L366" i="2" s="1"/>
  <c r="J368" i="2"/>
  <c r="K368" i="2" s="1"/>
  <c r="L368" i="2" s="1"/>
  <c r="K392" i="2"/>
  <c r="L392" i="2" s="1"/>
  <c r="K393" i="2"/>
  <c r="L393" i="2" s="1"/>
  <c r="K369" i="2"/>
  <c r="L369" i="2" s="1"/>
  <c r="K377" i="2"/>
  <c r="L377" i="2" s="1"/>
  <c r="K378" i="2"/>
  <c r="L378" i="2" s="1"/>
  <c r="K385" i="2"/>
  <c r="L385" i="2" s="1"/>
  <c r="K386" i="2"/>
  <c r="L386" i="2" s="1"/>
  <c r="K388" i="2"/>
  <c r="L388" i="2" s="1"/>
  <c r="K390" i="2"/>
  <c r="L390" i="2" s="1"/>
  <c r="K391" i="2"/>
  <c r="L391" i="2" s="1"/>
  <c r="J350" i="2"/>
  <c r="J338" i="2"/>
  <c r="K308" i="2"/>
  <c r="J301" i="2"/>
  <c r="K254" i="2"/>
  <c r="J229" i="2"/>
  <c r="J213" i="2"/>
  <c r="J208" i="2"/>
  <c r="J189" i="2"/>
  <c r="J141" i="2"/>
  <c r="J136" i="2"/>
  <c r="K125" i="2" l="1"/>
  <c r="J119" i="2"/>
  <c r="K111" i="2"/>
  <c r="J99" i="2"/>
  <c r="J38" i="2"/>
  <c r="J33" i="2"/>
  <c r="J27" i="2"/>
  <c r="J10" i="2"/>
  <c r="K6" i="2"/>
  <c r="J36" i="2"/>
  <c r="J273" i="2"/>
  <c r="K273" i="2" s="1"/>
  <c r="L273" i="2" s="1"/>
  <c r="K318" i="2" l="1"/>
  <c r="L318" i="2" s="1"/>
  <c r="K319" i="2"/>
  <c r="L319" i="2" s="1"/>
  <c r="K320" i="2"/>
  <c r="L320" i="2" s="1"/>
  <c r="K321" i="2"/>
  <c r="L321" i="2" s="1"/>
  <c r="K322" i="2"/>
  <c r="L322" i="2" s="1"/>
  <c r="L323" i="2"/>
  <c r="L324" i="2"/>
  <c r="K325" i="2"/>
  <c r="L325" i="2" s="1"/>
  <c r="K326" i="2"/>
  <c r="L326" i="2" s="1"/>
  <c r="K327" i="2"/>
  <c r="L327" i="2" s="1"/>
  <c r="K328" i="2"/>
  <c r="L328" i="2" s="1"/>
  <c r="K329" i="2"/>
  <c r="L329" i="2" s="1"/>
  <c r="K330" i="2"/>
  <c r="L330" i="2" s="1"/>
  <c r="K331" i="2"/>
  <c r="L331" i="2" s="1"/>
  <c r="K332" i="2"/>
  <c r="L332" i="2" s="1"/>
  <c r="K333" i="2"/>
  <c r="L333" i="2" s="1"/>
  <c r="K334" i="2"/>
  <c r="L334" i="2" s="1"/>
  <c r="K335" i="2"/>
  <c r="L335" i="2" s="1"/>
  <c r="K336" i="2"/>
  <c r="L336" i="2" s="1"/>
  <c r="K337" i="2"/>
  <c r="L337" i="2" s="1"/>
  <c r="K338" i="2"/>
  <c r="L338" i="2" s="1"/>
  <c r="K339" i="2"/>
  <c r="L339" i="2" s="1"/>
  <c r="K340" i="2"/>
  <c r="L340" i="2" s="1"/>
  <c r="K341" i="2"/>
  <c r="L341" i="2" s="1"/>
  <c r="K342" i="2"/>
  <c r="L342" i="2" s="1"/>
  <c r="K343" i="2"/>
  <c r="L343" i="2" s="1"/>
  <c r="K344" i="2"/>
  <c r="L344" i="2" s="1"/>
  <c r="K345" i="2"/>
  <c r="L345" i="2" s="1"/>
  <c r="K346" i="2"/>
  <c r="L346" i="2" s="1"/>
  <c r="K347" i="2"/>
  <c r="L347" i="2" s="1"/>
  <c r="K348" i="2"/>
  <c r="L348" i="2" s="1"/>
  <c r="K349" i="2"/>
  <c r="L349" i="2" s="1"/>
  <c r="K350" i="2"/>
  <c r="L350" i="2" s="1"/>
  <c r="K351" i="2"/>
  <c r="L351" i="2" s="1"/>
  <c r="K352" i="2"/>
  <c r="L352" i="2" s="1"/>
  <c r="K353" i="2"/>
  <c r="L353" i="2" s="1"/>
  <c r="K354" i="2"/>
  <c r="L354" i="2" s="1"/>
  <c r="K355" i="2"/>
  <c r="L355" i="2" s="1"/>
  <c r="K356" i="2"/>
  <c r="L356" i="2" s="1"/>
  <c r="K357" i="2"/>
  <c r="L357" i="2" s="1"/>
  <c r="K358" i="2"/>
  <c r="L358" i="2" s="1"/>
  <c r="K359" i="2"/>
  <c r="L359" i="2" s="1"/>
  <c r="K360" i="2"/>
  <c r="L360" i="2" s="1"/>
  <c r="K361" i="2"/>
  <c r="L361" i="2" s="1"/>
  <c r="K362" i="2"/>
  <c r="L362" i="2" s="1"/>
  <c r="K363" i="2"/>
  <c r="L363" i="2" s="1"/>
  <c r="K364" i="2"/>
  <c r="L364" i="2" s="1"/>
  <c r="K365" i="2"/>
  <c r="L365" i="2" s="1"/>
  <c r="K276" i="2" l="1"/>
  <c r="L276" i="2" s="1"/>
  <c r="J241" i="2"/>
  <c r="J146" i="2"/>
  <c r="K105" i="2"/>
  <c r="K14" i="2"/>
  <c r="L277" i="2" l="1"/>
  <c r="K283" i="2"/>
  <c r="K279" i="2"/>
  <c r="L279" i="2" s="1"/>
  <c r="K280" i="2"/>
  <c r="L280" i="2" s="1"/>
  <c r="K281" i="2"/>
  <c r="L281" i="2" s="1"/>
  <c r="J195" i="2"/>
  <c r="J183" i="2"/>
  <c r="J104" i="2"/>
  <c r="K104" i="2" s="1"/>
  <c r="J100" i="2"/>
  <c r="J94" i="2"/>
  <c r="J87" i="2"/>
  <c r="J86" i="2"/>
  <c r="K8" i="2"/>
  <c r="K5" i="2"/>
  <c r="K284" i="2"/>
  <c r="L284" i="2" s="1"/>
  <c r="K285" i="2"/>
  <c r="L285" i="2" s="1"/>
  <c r="K286" i="2"/>
  <c r="L286" i="2" s="1"/>
  <c r="K287" i="2"/>
  <c r="L287" i="2" s="1"/>
  <c r="K288" i="2"/>
  <c r="L288" i="2" s="1"/>
  <c r="L289" i="2"/>
  <c r="L290" i="2"/>
  <c r="K291" i="2"/>
  <c r="L291" i="2" s="1"/>
  <c r="K292" i="2"/>
  <c r="L292" i="2" s="1"/>
  <c r="K293" i="2"/>
  <c r="L293" i="2" s="1"/>
  <c r="K294" i="2"/>
  <c r="L294" i="2" s="1"/>
  <c r="K295" i="2"/>
  <c r="L295" i="2" s="1"/>
  <c r="K296" i="2"/>
  <c r="L296" i="2" s="1"/>
  <c r="K297" i="2"/>
  <c r="L297" i="2" s="1"/>
  <c r="K298" i="2"/>
  <c r="L298" i="2" s="1"/>
  <c r="K299" i="2"/>
  <c r="L299" i="2" s="1"/>
  <c r="K300" i="2"/>
  <c r="L300" i="2" s="1"/>
  <c r="K301" i="2"/>
  <c r="L301" i="2" s="1"/>
  <c r="L302" i="2"/>
  <c r="K303" i="2"/>
  <c r="L303" i="2" s="1"/>
  <c r="K304" i="2"/>
  <c r="L304" i="2" s="1"/>
  <c r="K305" i="2"/>
  <c r="L305" i="2" s="1"/>
  <c r="K306" i="2"/>
  <c r="L306" i="2" s="1"/>
  <c r="K307" i="2"/>
  <c r="L307" i="2" s="1"/>
  <c r="L308" i="2"/>
  <c r="K309" i="2"/>
  <c r="L309" i="2" s="1"/>
  <c r="K310" i="2"/>
  <c r="L310" i="2" s="1"/>
  <c r="K311" i="2"/>
  <c r="L311" i="2" s="1"/>
  <c r="K312" i="2"/>
  <c r="L312" i="2" s="1"/>
  <c r="K313" i="2"/>
  <c r="L313" i="2" s="1"/>
  <c r="K314" i="2"/>
  <c r="L314" i="2" s="1"/>
  <c r="K315" i="2"/>
  <c r="L315" i="2" s="1"/>
  <c r="K316" i="2"/>
  <c r="L316" i="2" s="1"/>
  <c r="K317" i="2"/>
  <c r="L317" i="2" s="1"/>
  <c r="K7" i="2" l="1"/>
  <c r="L7" i="2" s="1"/>
  <c r="L3" i="2" l="1"/>
  <c r="K282" i="2"/>
  <c r="L282" i="2" s="1"/>
  <c r="L283" i="2"/>
  <c r="K274" i="2"/>
  <c r="L274" i="2" s="1"/>
  <c r="K272" i="2"/>
  <c r="K271" i="2"/>
  <c r="K278" i="2"/>
  <c r="L278" i="2" s="1"/>
  <c r="K275" i="2"/>
  <c r="L275" i="2" s="1"/>
  <c r="J193" i="2" l="1"/>
  <c r="J177" i="2"/>
  <c r="J176" i="2"/>
  <c r="J166" i="2"/>
  <c r="J152" i="2"/>
  <c r="J145" i="2"/>
  <c r="J133" i="2"/>
  <c r="J129" i="2"/>
  <c r="J127" i="2"/>
  <c r="J126" i="2"/>
  <c r="J123" i="2"/>
  <c r="J120" i="2"/>
  <c r="J109" i="2"/>
  <c r="J101" i="2"/>
  <c r="J96" i="2"/>
  <c r="J91" i="2"/>
  <c r="J88" i="2"/>
  <c r="J79" i="2"/>
  <c r="J66" i="2"/>
  <c r="J64" i="2"/>
  <c r="J51" i="2"/>
  <c r="J72" i="2"/>
  <c r="J42" i="2"/>
  <c r="J73" i="2"/>
  <c r="K200" i="2" l="1"/>
  <c r="L272" i="2" l="1"/>
  <c r="K198" i="2"/>
  <c r="L198" i="2" s="1"/>
  <c r="K199" i="2"/>
  <c r="L199" i="2" s="1"/>
  <c r="L200" i="2"/>
  <c r="K201" i="2"/>
  <c r="L201" i="2" s="1"/>
  <c r="L202" i="2"/>
  <c r="K203" i="2"/>
  <c r="L203" i="2" s="1"/>
  <c r="K204" i="2"/>
  <c r="L204" i="2" s="1"/>
  <c r="K205" i="2"/>
  <c r="L205" i="2" s="1"/>
  <c r="K206" i="2"/>
  <c r="L206" i="2" s="1"/>
  <c r="K207" i="2"/>
  <c r="L207" i="2" s="1"/>
  <c r="K208" i="2"/>
  <c r="L208" i="2" s="1"/>
  <c r="K209" i="2"/>
  <c r="L209" i="2" s="1"/>
  <c r="K210" i="2"/>
  <c r="L210" i="2" s="1"/>
  <c r="K211" i="2"/>
  <c r="L211" i="2" s="1"/>
  <c r="K212" i="2"/>
  <c r="L212" i="2" s="1"/>
  <c r="K213" i="2"/>
  <c r="L213" i="2" s="1"/>
  <c r="K214" i="2"/>
  <c r="L214" i="2" s="1"/>
  <c r="L215" i="2"/>
  <c r="K216" i="2"/>
  <c r="L216" i="2" s="1"/>
  <c r="K217" i="2"/>
  <c r="L217" i="2" s="1"/>
  <c r="K218" i="2"/>
  <c r="L218" i="2" s="1"/>
  <c r="L219" i="2"/>
  <c r="K220" i="2"/>
  <c r="L220" i="2" s="1"/>
  <c r="K221" i="2"/>
  <c r="L221" i="2" s="1"/>
  <c r="K222" i="2"/>
  <c r="L222" i="2" s="1"/>
  <c r="K223" i="2"/>
  <c r="L223" i="2" s="1"/>
  <c r="K224" i="2"/>
  <c r="L224" i="2" s="1"/>
  <c r="K225" i="2"/>
  <c r="L225" i="2" s="1"/>
  <c r="K226" i="2"/>
  <c r="L226" i="2" s="1"/>
  <c r="K227" i="2"/>
  <c r="L227" i="2" s="1"/>
  <c r="L228" i="2"/>
  <c r="K229" i="2"/>
  <c r="L229" i="2" s="1"/>
  <c r="K230" i="2"/>
  <c r="L230" i="2" s="1"/>
  <c r="K231" i="2"/>
  <c r="L231" i="2" s="1"/>
  <c r="K232" i="2"/>
  <c r="L232" i="2" s="1"/>
  <c r="K233" i="2"/>
  <c r="L233" i="2" s="1"/>
  <c r="K234" i="2"/>
  <c r="L234" i="2" s="1"/>
  <c r="K235" i="2"/>
  <c r="L235" i="2" s="1"/>
  <c r="K236" i="2"/>
  <c r="L236" i="2" s="1"/>
  <c r="K237" i="2"/>
  <c r="L237" i="2" s="1"/>
  <c r="K238" i="2"/>
  <c r="L238" i="2" s="1"/>
  <c r="K239" i="2"/>
  <c r="L239" i="2" s="1"/>
  <c r="K240" i="2"/>
  <c r="L240" i="2" s="1"/>
  <c r="K241" i="2"/>
  <c r="L241" i="2" s="1"/>
  <c r="L242" i="2"/>
  <c r="K243" i="2"/>
  <c r="L243" i="2" s="1"/>
  <c r="K244" i="2"/>
  <c r="L244" i="2" s="1"/>
  <c r="K245" i="2"/>
  <c r="L245" i="2" s="1"/>
  <c r="K246" i="2"/>
  <c r="L246" i="2" s="1"/>
  <c r="K247" i="2"/>
  <c r="L247" i="2" s="1"/>
  <c r="K248" i="2"/>
  <c r="L248" i="2" s="1"/>
  <c r="K249" i="2"/>
  <c r="L249" i="2" s="1"/>
  <c r="K250" i="2"/>
  <c r="L250" i="2" s="1"/>
  <c r="K251" i="2"/>
  <c r="L251" i="2" s="1"/>
  <c r="K252" i="2"/>
  <c r="L252" i="2" s="1"/>
  <c r="K253" i="2"/>
  <c r="L253" i="2" s="1"/>
  <c r="L254" i="2"/>
  <c r="K255" i="2"/>
  <c r="L255" i="2" s="1"/>
  <c r="K256" i="2"/>
  <c r="L256" i="2" s="1"/>
  <c r="K257" i="2"/>
  <c r="L257" i="2" s="1"/>
  <c r="K258" i="2"/>
  <c r="L258" i="2" s="1"/>
  <c r="K259" i="2"/>
  <c r="L259" i="2" s="1"/>
  <c r="K260" i="2"/>
  <c r="L260" i="2" s="1"/>
  <c r="K261" i="2"/>
  <c r="L261" i="2" s="1"/>
  <c r="K262" i="2"/>
  <c r="L262" i="2" s="1"/>
  <c r="K263" i="2"/>
  <c r="L263" i="2" s="1"/>
  <c r="K264" i="2"/>
  <c r="L264" i="2" s="1"/>
  <c r="K265" i="2"/>
  <c r="L265" i="2" s="1"/>
  <c r="L266" i="2"/>
  <c r="K267" i="2"/>
  <c r="L267" i="2" s="1"/>
  <c r="K268" i="2"/>
  <c r="L268" i="2" s="1"/>
  <c r="K269" i="2"/>
  <c r="L269" i="2" s="1"/>
  <c r="K270" i="2"/>
  <c r="L270" i="2" s="1"/>
  <c r="L271" i="2"/>
  <c r="J17" i="2" l="1"/>
  <c r="L5" i="2" l="1"/>
  <c r="K10" i="2"/>
  <c r="L10" i="2" s="1"/>
  <c r="K11" i="2"/>
  <c r="L11" i="2" s="1"/>
  <c r="K4" i="2"/>
  <c r="L4" i="2" s="1"/>
  <c r="K2" i="2"/>
  <c r="L2" i="2" s="1"/>
  <c r="L6" i="2"/>
  <c r="K129" i="2" l="1"/>
  <c r="L129" i="2" s="1"/>
  <c r="J57" i="2"/>
  <c r="K143" i="2"/>
  <c r="L143" i="2" s="1"/>
  <c r="K139" i="2"/>
  <c r="L139" i="2" s="1"/>
  <c r="K141" i="2"/>
  <c r="L141" i="2" s="1"/>
  <c r="K140" i="2"/>
  <c r="L140" i="2" s="1"/>
  <c r="K197" i="2"/>
  <c r="L197" i="2" s="1"/>
  <c r="K196" i="2"/>
  <c r="L196" i="2" s="1"/>
  <c r="K195" i="2"/>
  <c r="L195" i="2" s="1"/>
  <c r="K194" i="2"/>
  <c r="L194" i="2" s="1"/>
  <c r="K193" i="2"/>
  <c r="L193" i="2" s="1"/>
  <c r="K192" i="2"/>
  <c r="L192" i="2" s="1"/>
  <c r="K191" i="2"/>
  <c r="L191" i="2" s="1"/>
  <c r="L190" i="2"/>
  <c r="K189" i="2"/>
  <c r="L189" i="2" s="1"/>
  <c r="K188" i="2"/>
  <c r="L188" i="2" s="1"/>
  <c r="K187" i="2"/>
  <c r="L187" i="2" s="1"/>
  <c r="K186" i="2"/>
  <c r="L186" i="2" s="1"/>
  <c r="K185" i="2"/>
  <c r="L185" i="2" s="1"/>
  <c r="K184" i="2"/>
  <c r="L184" i="2" s="1"/>
  <c r="K183" i="2"/>
  <c r="L183" i="2" s="1"/>
  <c r="K182" i="2"/>
  <c r="L182" i="2" s="1"/>
  <c r="K181" i="2"/>
  <c r="L181" i="2" s="1"/>
  <c r="K180" i="2"/>
  <c r="L180" i="2" s="1"/>
  <c r="K179" i="2"/>
  <c r="L179" i="2" s="1"/>
  <c r="K178" i="2"/>
  <c r="L178" i="2" s="1"/>
  <c r="K177" i="2"/>
  <c r="L177" i="2" s="1"/>
  <c r="K176" i="2"/>
  <c r="L176" i="2" s="1"/>
  <c r="K175" i="2"/>
  <c r="L175" i="2" s="1"/>
  <c r="K174" i="2"/>
  <c r="L174" i="2" s="1"/>
  <c r="K173" i="2"/>
  <c r="L173" i="2" s="1"/>
  <c r="K172" i="2"/>
  <c r="L172" i="2" s="1"/>
  <c r="K171" i="2"/>
  <c r="L171" i="2" s="1"/>
  <c r="K170" i="2"/>
  <c r="L170" i="2" s="1"/>
  <c r="K169" i="2"/>
  <c r="L169" i="2" s="1"/>
  <c r="K168" i="2"/>
  <c r="L168" i="2" s="1"/>
  <c r="K167" i="2"/>
  <c r="L167" i="2" s="1"/>
  <c r="K166" i="2"/>
  <c r="L166" i="2" s="1"/>
  <c r="K165" i="2"/>
  <c r="L165" i="2" s="1"/>
  <c r="L164" i="2"/>
  <c r="K163" i="2"/>
  <c r="L163" i="2" s="1"/>
  <c r="K162" i="2"/>
  <c r="L162" i="2" s="1"/>
  <c r="L161" i="2"/>
  <c r="K160" i="2"/>
  <c r="L160" i="2" s="1"/>
  <c r="K159" i="2"/>
  <c r="L159" i="2" s="1"/>
  <c r="K158" i="2"/>
  <c r="L158" i="2" s="1"/>
  <c r="K157" i="2"/>
  <c r="L157" i="2" s="1"/>
  <c r="K156" i="2"/>
  <c r="L156" i="2" s="1"/>
  <c r="K155" i="2"/>
  <c r="L155" i="2" s="1"/>
  <c r="K154" i="2"/>
  <c r="L154" i="2" s="1"/>
  <c r="K153" i="2"/>
  <c r="L153" i="2" s="1"/>
  <c r="K152" i="2"/>
  <c r="L152" i="2" s="1"/>
  <c r="K151" i="2"/>
  <c r="L151" i="2" s="1"/>
  <c r="K150" i="2"/>
  <c r="L150" i="2" s="1"/>
  <c r="K149" i="2"/>
  <c r="L149" i="2" s="1"/>
  <c r="K148" i="2"/>
  <c r="L148" i="2" s="1"/>
  <c r="K147" i="2"/>
  <c r="L147" i="2" s="1"/>
  <c r="K146" i="2"/>
  <c r="L146" i="2" s="1"/>
  <c r="K145" i="2"/>
  <c r="L145" i="2" s="1"/>
  <c r="K144" i="2"/>
  <c r="L144" i="2" s="1"/>
  <c r="K142" i="2"/>
  <c r="L142" i="2" s="1"/>
  <c r="K138" i="2" l="1"/>
  <c r="L138" i="2" s="1"/>
  <c r="K137" i="2"/>
  <c r="L137" i="2" s="1"/>
  <c r="K136" i="2"/>
  <c r="L136" i="2" s="1"/>
  <c r="K135" i="2"/>
  <c r="L135" i="2" s="1"/>
  <c r="K134" i="2"/>
  <c r="L134" i="2" s="1"/>
  <c r="K133" i="2"/>
  <c r="L133" i="2" s="1"/>
  <c r="K128" i="2"/>
  <c r="L128" i="2" s="1"/>
  <c r="K130" i="2"/>
  <c r="L130" i="2" s="1"/>
  <c r="K131" i="2"/>
  <c r="L131" i="2" s="1"/>
  <c r="K132" i="2"/>
  <c r="L132" i="2" s="1"/>
  <c r="K127" i="2"/>
  <c r="L127" i="2" s="1"/>
  <c r="K124" i="2" l="1"/>
  <c r="L124" i="2" s="1"/>
  <c r="K123" i="2"/>
  <c r="L123" i="2" s="1"/>
  <c r="J97" i="2"/>
  <c r="J95" i="2"/>
  <c r="J85" i="2"/>
  <c r="J81" i="2"/>
  <c r="J80" i="2"/>
  <c r="J78" i="2"/>
  <c r="J77" i="2"/>
  <c r="J76" i="2"/>
  <c r="J75" i="2"/>
  <c r="J69" i="2"/>
  <c r="J68" i="2"/>
  <c r="J67" i="2"/>
  <c r="J65" i="2"/>
  <c r="J63" i="2"/>
  <c r="J62" i="2"/>
  <c r="J60" i="2"/>
  <c r="J54" i="2"/>
  <c r="J53" i="2"/>
  <c r="J52" i="2"/>
  <c r="J49" i="2"/>
  <c r="J46" i="2"/>
  <c r="J45" i="2"/>
  <c r="J44" i="2"/>
  <c r="J39" i="2"/>
  <c r="J37" i="2"/>
  <c r="J31" i="2"/>
  <c r="J28" i="2"/>
  <c r="J26" i="2"/>
  <c r="J25" i="2"/>
  <c r="K72" i="2"/>
  <c r="J41" i="2" l="1"/>
  <c r="J40" i="2"/>
  <c r="K9" i="2"/>
  <c r="L9" i="2" s="1"/>
  <c r="J61" i="2" l="1"/>
  <c r="J59" i="2"/>
  <c r="J47" i="2"/>
  <c r="J34" i="2"/>
  <c r="J32" i="2"/>
  <c r="J29" i="2"/>
  <c r="J24" i="2"/>
  <c r="K24" i="2" s="1"/>
  <c r="J23" i="2"/>
  <c r="K19" i="2"/>
  <c r="J22" i="2"/>
  <c r="J21" i="2"/>
  <c r="J18" i="2"/>
  <c r="J13" i="2"/>
  <c r="L8" i="2" l="1"/>
  <c r="J12" i="2" l="1"/>
  <c r="K12" i="2" s="1"/>
  <c r="L12" i="2" s="1"/>
  <c r="K84" i="2"/>
  <c r="L84" i="2" s="1"/>
  <c r="K85" i="2"/>
  <c r="L85" i="2" s="1"/>
  <c r="K86" i="2"/>
  <c r="L86" i="2" s="1"/>
  <c r="K87" i="2"/>
  <c r="L87" i="2" s="1"/>
  <c r="K88" i="2"/>
  <c r="L88" i="2" s="1"/>
  <c r="K89" i="2"/>
  <c r="L89" i="2" s="1"/>
  <c r="K90" i="2"/>
  <c r="L90" i="2" s="1"/>
  <c r="K91" i="2"/>
  <c r="L91" i="2" s="1"/>
  <c r="K92" i="2"/>
  <c r="L92" i="2" s="1"/>
  <c r="K93" i="2"/>
  <c r="L93" i="2" s="1"/>
  <c r="K94" i="2"/>
  <c r="L94" i="2" s="1"/>
  <c r="K95" i="2"/>
  <c r="L95" i="2" s="1"/>
  <c r="K96" i="2"/>
  <c r="L96" i="2" s="1"/>
  <c r="K97" i="2"/>
  <c r="L97" i="2" s="1"/>
  <c r="K98" i="2"/>
  <c r="L98" i="2" s="1"/>
  <c r="K99" i="2"/>
  <c r="L99" i="2" s="1"/>
  <c r="K100" i="2"/>
  <c r="L100" i="2" s="1"/>
  <c r="K101" i="2"/>
  <c r="L101" i="2" s="1"/>
  <c r="K102" i="2"/>
  <c r="L102" i="2" s="1"/>
  <c r="K103" i="2"/>
  <c r="L103" i="2" s="1"/>
  <c r="L104" i="2"/>
  <c r="L105" i="2"/>
  <c r="K106" i="2"/>
  <c r="L106" i="2" s="1"/>
  <c r="K107" i="2"/>
  <c r="L107" i="2" s="1"/>
  <c r="K108" i="2"/>
  <c r="L108" i="2" s="1"/>
  <c r="K109" i="2"/>
  <c r="L109" i="2" s="1"/>
  <c r="L110" i="2"/>
  <c r="L111" i="2"/>
  <c r="K112" i="2"/>
  <c r="L112" i="2" s="1"/>
  <c r="K113" i="2"/>
  <c r="L113" i="2" s="1"/>
  <c r="K114" i="2"/>
  <c r="L114" i="2" s="1"/>
  <c r="K115" i="2"/>
  <c r="L115" i="2" s="1"/>
  <c r="L116" i="2"/>
  <c r="K117" i="2"/>
  <c r="L117" i="2" s="1"/>
  <c r="K118" i="2"/>
  <c r="L118" i="2" s="1"/>
  <c r="K119" i="2"/>
  <c r="L119" i="2" s="1"/>
  <c r="K120" i="2"/>
  <c r="L120" i="2" s="1"/>
  <c r="K121" i="2"/>
  <c r="L121" i="2" s="1"/>
  <c r="K122" i="2"/>
  <c r="L122" i="2" s="1"/>
  <c r="L125" i="2"/>
  <c r="K126" i="2"/>
  <c r="L126" i="2" s="1"/>
  <c r="K66" i="2"/>
  <c r="L66" i="2" s="1"/>
  <c r="L24" i="2" l="1"/>
  <c r="K25" i="2"/>
  <c r="L25" i="2" s="1"/>
  <c r="K26" i="2"/>
  <c r="L26" i="2" s="1"/>
  <c r="K27" i="2"/>
  <c r="L27" i="2" s="1"/>
  <c r="K28" i="2"/>
  <c r="L28" i="2" s="1"/>
  <c r="K29" i="2"/>
  <c r="L29" i="2" s="1"/>
  <c r="L30" i="2"/>
  <c r="K31" i="2"/>
  <c r="L31" i="2" s="1"/>
  <c r="K32" i="2"/>
  <c r="L32" i="2" s="1"/>
  <c r="K33" i="2"/>
  <c r="L33" i="2" s="1"/>
  <c r="K34" i="2"/>
  <c r="L34" i="2" s="1"/>
  <c r="K35" i="2"/>
  <c r="L35" i="2" s="1"/>
  <c r="K36" i="2"/>
  <c r="L36" i="2" s="1"/>
  <c r="K37" i="2"/>
  <c r="L37" i="2" s="1"/>
  <c r="K38" i="2"/>
  <c r="L38" i="2" s="1"/>
  <c r="K39" i="2"/>
  <c r="L39" i="2" s="1"/>
  <c r="K40" i="2"/>
  <c r="L40" i="2" s="1"/>
  <c r="K41" i="2"/>
  <c r="L41" i="2" s="1"/>
  <c r="K42" i="2"/>
  <c r="L42" i="2" s="1"/>
  <c r="K43" i="2"/>
  <c r="L43" i="2" s="1"/>
  <c r="K44" i="2"/>
  <c r="L44" i="2" s="1"/>
  <c r="K45" i="2"/>
  <c r="L45" i="2" s="1"/>
  <c r="K46" i="2"/>
  <c r="L46" i="2" s="1"/>
  <c r="K48" i="2"/>
  <c r="L48" i="2" s="1"/>
  <c r="K49" i="2"/>
  <c r="L49" i="2" s="1"/>
  <c r="K50" i="2"/>
  <c r="L50" i="2" s="1"/>
  <c r="K51" i="2"/>
  <c r="L51" i="2" s="1"/>
  <c r="K52" i="2"/>
  <c r="L52" i="2" s="1"/>
  <c r="K53" i="2"/>
  <c r="L53" i="2" s="1"/>
  <c r="K54" i="2"/>
  <c r="L54" i="2" s="1"/>
  <c r="K55" i="2"/>
  <c r="L55" i="2" s="1"/>
  <c r="K56" i="2"/>
  <c r="L56" i="2" s="1"/>
  <c r="K57" i="2"/>
  <c r="L57" i="2" s="1"/>
  <c r="K58" i="2"/>
  <c r="L58" i="2" s="1"/>
  <c r="K59" i="2"/>
  <c r="L59" i="2" s="1"/>
  <c r="K60" i="2"/>
  <c r="L60" i="2" s="1"/>
  <c r="K61" i="2"/>
  <c r="L61" i="2" s="1"/>
  <c r="K62" i="2"/>
  <c r="L62" i="2" s="1"/>
  <c r="K63" i="2"/>
  <c r="L63" i="2" s="1"/>
  <c r="K64" i="2"/>
  <c r="L64" i="2" s="1"/>
  <c r="K65" i="2"/>
  <c r="L65" i="2" s="1"/>
  <c r="K67" i="2"/>
  <c r="L67" i="2" s="1"/>
  <c r="K68" i="2"/>
  <c r="L68" i="2" s="1"/>
  <c r="K69" i="2"/>
  <c r="L69" i="2" s="1"/>
  <c r="L70" i="2"/>
  <c r="K71" i="2"/>
  <c r="L71" i="2" s="1"/>
  <c r="L72" i="2"/>
  <c r="K73" i="2"/>
  <c r="L73" i="2" s="1"/>
  <c r="K74" i="2"/>
  <c r="L74" i="2" s="1"/>
  <c r="K75" i="2"/>
  <c r="L75" i="2" s="1"/>
  <c r="K76" i="2"/>
  <c r="L76" i="2" s="1"/>
  <c r="K77" i="2"/>
  <c r="L77" i="2" s="1"/>
  <c r="K78" i="2"/>
  <c r="L78" i="2" s="1"/>
  <c r="K79" i="2"/>
  <c r="L79" i="2" s="1"/>
  <c r="K80" i="2"/>
  <c r="L80" i="2" s="1"/>
  <c r="K81" i="2"/>
  <c r="L81" i="2" s="1"/>
  <c r="K83" i="2"/>
  <c r="L83" i="2" s="1"/>
  <c r="K20" i="2"/>
  <c r="L20" i="2" s="1"/>
  <c r="L14" i="2"/>
  <c r="K15" i="2"/>
  <c r="L15" i="2" s="1"/>
  <c r="K16" i="2"/>
  <c r="L16" i="2" s="1"/>
  <c r="K17" i="2"/>
  <c r="L17" i="2" s="1"/>
  <c r="K18" i="2"/>
  <c r="L18" i="2" s="1"/>
  <c r="L19" i="2"/>
  <c r="K21" i="2"/>
  <c r="L21" i="2" s="1"/>
  <c r="K22" i="2"/>
  <c r="L22" i="2" s="1"/>
  <c r="K13" i="2"/>
  <c r="L13" i="2" s="1"/>
  <c r="K23" i="2"/>
  <c r="L23" i="2" s="1"/>
  <c r="K47" i="2"/>
  <c r="L47" i="2" s="1"/>
  <c r="K82" i="2"/>
  <c r="L8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tc={3D2F2DDD-23B1-45F3-B67E-F4719C35BFAB}</author>
    <author>tc={146697C5-B488-4126-97FD-8A098FC05664}</author>
    <author>tc={09003D83-0B55-48EB-BEDA-CD4C8F9D7C30}</author>
    <author>tc={3B3D5E0F-EAE3-499C-80D2-86A346FF622A}</author>
    <author>tc={AB054B0F-E6A4-43D0-B8F0-F5943902102C}</author>
    <author>tc={6CE4601B-663C-4B7C-8325-59061ED760C5}</author>
    <author>tc={7D87F657-F8EF-4701-A200-646126A064AC}</author>
    <author>tc={CAB72AD1-B742-44D2-8500-8C909EBACD53}</author>
    <author>tc={B2F0D1E4-E091-4B81-89A1-D3DCC7364979}</author>
    <author>tc={64D8A937-3161-40CF-83B1-8DE2BDF937FC}</author>
  </authors>
  <commentList>
    <comment ref="E335" authorId="0" shapeId="0" xr:uid="{ACA189DD-8B37-4448-A332-F33ED20A8D7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Orden de Compra</t>
        </r>
      </text>
    </comment>
    <comment ref="E364" authorId="1" shapeId="0" xr:uid="{5389908D-6DFB-4315-9BBF-2B31D027374D}">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RECHAZADO</t>
        </r>
      </text>
    </comment>
    <comment ref="E461" authorId="2" shapeId="0" xr:uid="{328F28D1-00F4-9146-A495-38716F2998CA}">
      <text>
        <r>
          <rPr>
            <sz val="11"/>
            <color rgb="FF000000"/>
            <rFont val="Calibri"/>
            <family val="2"/>
          </rPr>
          <t xml:space="preserve">[Threaded comment]
</t>
        </r>
        <r>
          <rPr>
            <sz val="11"/>
            <color rgb="FF000000"/>
            <rFont val="Calibri"/>
            <family val="2"/>
          </rPr>
          <t xml:space="preserve">
</t>
        </r>
        <r>
          <rPr>
            <sz val="11"/>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1"/>
            <color rgb="FF000000"/>
            <rFont val="Calibri"/>
            <family val="2"/>
          </rPr>
          <t xml:space="preserve">
</t>
        </r>
        <r>
          <rPr>
            <sz val="11"/>
            <color rgb="FF000000"/>
            <rFont val="Calibri"/>
            <family val="2"/>
          </rPr>
          <t xml:space="preserve">Comment:
</t>
        </r>
        <r>
          <rPr>
            <sz val="11"/>
            <color rgb="FF000000"/>
            <rFont val="Calibri"/>
            <family val="2"/>
          </rPr>
          <t xml:space="preserve">    orden de compra 152696</t>
        </r>
      </text>
    </comment>
    <comment ref="E462" authorId="3" shapeId="0" xr:uid="{1ADA4112-D379-DF45-80CF-D1C2535E7631}">
      <text>
        <r>
          <rPr>
            <sz val="11"/>
            <color rgb="FF000000"/>
            <rFont val="Calibri"/>
            <family val="2"/>
          </rPr>
          <t xml:space="preserve">[Threaded comment]
</t>
        </r>
        <r>
          <rPr>
            <sz val="11"/>
            <color rgb="FF000000"/>
            <rFont val="Calibri"/>
            <family val="2"/>
          </rPr>
          <t xml:space="preserve">
</t>
        </r>
        <r>
          <rPr>
            <sz val="11"/>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1"/>
            <color rgb="FF000000"/>
            <rFont val="Calibri"/>
            <family val="2"/>
          </rPr>
          <t xml:space="preserve">
</t>
        </r>
        <r>
          <rPr>
            <sz val="11"/>
            <color rgb="FF000000"/>
            <rFont val="Calibri"/>
            <family val="2"/>
          </rPr>
          <t xml:space="preserve">Comment:
</t>
        </r>
        <r>
          <rPr>
            <sz val="11"/>
            <color rgb="FF000000"/>
            <rFont val="Calibri"/>
            <family val="2"/>
          </rPr>
          <t xml:space="preserve">    Orden de Compra 152697</t>
        </r>
      </text>
    </comment>
    <comment ref="E463" authorId="4" shapeId="0" xr:uid="{EA93DDA7-587A-264C-80B0-F246CBA1F74E}">
      <text>
        <r>
          <rPr>
            <sz val="11"/>
            <color rgb="FF000000"/>
            <rFont val="Calibri"/>
            <family val="2"/>
          </rPr>
          <t xml:space="preserve">[Threaded comment]
</t>
        </r>
        <r>
          <rPr>
            <sz val="11"/>
            <color rgb="FF000000"/>
            <rFont val="Calibri"/>
            <family val="2"/>
          </rPr>
          <t xml:space="preserve">
</t>
        </r>
        <r>
          <rPr>
            <sz val="11"/>
            <color rgb="FF000000"/>
            <rFont val="Calibri"/>
            <family val="2"/>
          </rPr>
          <t xml:space="preserve">Your version of Excel allows you to read this threaded comment; however, any edits to it will get removed if the file is opened in a newer version of Excel. Learn more: https://go.microsoft.com/fwlink/?linkid=870924
</t>
        </r>
        <r>
          <rPr>
            <sz val="11"/>
            <color rgb="FF000000"/>
            <rFont val="Calibri"/>
            <family val="2"/>
          </rPr>
          <t xml:space="preserve">
</t>
        </r>
        <r>
          <rPr>
            <sz val="11"/>
            <color rgb="FF000000"/>
            <rFont val="Calibri"/>
            <family val="2"/>
          </rPr>
          <t xml:space="preserve">Comment:
</t>
        </r>
        <r>
          <rPr>
            <sz val="11"/>
            <color rgb="FF000000"/>
            <rFont val="Calibri"/>
            <family val="2"/>
          </rPr>
          <t xml:space="preserve">    Orden de Compra 152698</t>
        </r>
      </text>
    </comment>
    <comment ref="E464" authorId="5" shapeId="0" xr:uid="{AF158870-09C6-E24E-ADBB-8B33D5A382E4}">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Orden de Compra 152699</t>
        </r>
      </text>
    </comment>
    <comment ref="E468" authorId="6" shapeId="0" xr:uid="{F3267084-5223-7F4D-A54B-512BBE33E635}">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ORDEN DE COMPRA 153141</t>
        </r>
      </text>
    </comment>
    <comment ref="E474" authorId="7" shapeId="0" xr:uid="{E2EDA3DC-EE92-CC4A-8CAE-470DFADF497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Minima cuantia 013 calibración alcoholimetro</t>
        </r>
      </text>
    </comment>
    <comment ref="E476" authorId="8" shapeId="0" xr:uid="{0C584C57-7E2F-D644-9083-2E84B55DE118}">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Rechazado</t>
        </r>
      </text>
    </comment>
    <comment ref="E490" authorId="9" shapeId="0" xr:uid="{4767523A-7073-304E-A929-65FE88B0ED5E}">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TERMINADO ANTICIPADAMENTE</t>
        </r>
      </text>
    </comment>
  </commentList>
</comments>
</file>

<file path=xl/sharedStrings.xml><?xml version="1.0" encoding="utf-8"?>
<sst xmlns="http://schemas.openxmlformats.org/spreadsheetml/2006/main" count="1409" uniqueCount="1195">
  <si>
    <t>OBJETO DEL CONTRATO</t>
  </si>
  <si>
    <t xml:space="preserve">No. DE
CONTRATO </t>
  </si>
  <si>
    <t>FECHA DE INICIO</t>
  </si>
  <si>
    <t>FECHA
TERMINACIÓN</t>
  </si>
  <si>
    <t>VALOR DELCONTRATO</t>
  </si>
  <si>
    <t>RECURSOS DESEMBOLSADOS PAGADOS</t>
  </si>
  <si>
    <t>DANIEL ESTEBAN RUANO RUIZ</t>
  </si>
  <si>
    <t>NOMBRE CONTRATISTA</t>
  </si>
  <si>
    <t>CEDULA - NIT</t>
  </si>
  <si>
    <t>RECURSOS PENDIENTES POR EJECUTAR</t>
  </si>
  <si>
    <t xml:space="preserve">CANTIDAD DE OTROSIES Y ADICIONES </t>
  </si>
  <si>
    <t>MONTO TOTAL DE LAS ADICIONES</t>
  </si>
  <si>
    <t>OBJERVACIONES</t>
  </si>
  <si>
    <t>DÍGITO DE VERIFICACÍON</t>
  </si>
  <si>
    <t>Honorario</t>
  </si>
  <si>
    <t>JESUS DAVID RAMIREZ MERCADO</t>
  </si>
  <si>
    <t>HARRISON AMÉZQUITA GAMA</t>
  </si>
  <si>
    <t>LISETTE DAYHANNA ACOSTA MANCILLA</t>
  </si>
  <si>
    <t>YOMAIRA GOMEZ GARNICA</t>
  </si>
  <si>
    <t>GLORIA JOSEFINA CELIS JUTINICO</t>
  </si>
  <si>
    <t>EMILCE CANO GOMEZ</t>
  </si>
  <si>
    <t>DIANA SUSANA YUSTES DIAZ</t>
  </si>
  <si>
    <t>YEIMY LORENA DUQUINO CHAPARRO</t>
  </si>
  <si>
    <t>NESTOR HUGO MARTINEZ ACOSTA</t>
  </si>
  <si>
    <t>PRESTAR SERVICIOS PROFESIONALES PARA APOYAR LOS TRÁMITES RELACIONADOS CON LOS PROCESOS PRECONTRACTUALES CONTRACTUALES, POSTCONTRACTUALES Y DE TIENDA VIRTUAL EN EL GRUPO DE GESTIÓN CONTRACTUAL DE LA SSF. (ID: GGC-029).</t>
  </si>
  <si>
    <t>PRESTAR SERVICIOS PROFESIONALES ESPECIALIZADOS PARA REALIZAR ACOMPAÑAMIENTO EN EL ANÁLISIS, CONCEPTO, Y REVISIÓN DE LAS ACTIVIDADES QUE LE CORRESPONDAN AL GRUPO GESTIÓN CONTRACTUAL DE LA SECRETARÍA GENERAL DE LA SUPERINTENDENCIA DE SUBSIDIO FAMILIAR. (ID: GGC-038)</t>
  </si>
  <si>
    <t>PRESTAR SERVICIOS PROFESIONALES PARA APOYAR LOS TRÁMITES RELACIONADOS CON LOS PROCESOS PRECONTRACTUALES CONTRACTUALES, POSTCONTRACTUALES Y DE TIENDA VIRTUAL EN EL GRUPO DE GESTIÓN CONTRACTUAL DE LA SSF. (ID: GGC-030)</t>
  </si>
  <si>
    <t>PRESTAR SERVICIOS PROFESIONALES ESPECIALIZADOS PARA ACOMPAÑAR EL SEGUIMIENTO DE LOS PLANES DE MEJORAMIENTO, HALLAZGOS, INFORMES, OBSERVACIONES DE AUDITORÍAS INTERNAS Y EXTERNAS, ACCIONES PREVENTIVAS CORRECTIVAS PROPIAS DE LA DE LA SECRETARIA GENERAL. (ID: SG-085).</t>
  </si>
  <si>
    <t>PRESTAR LOS SERVICIOS PROFESIONALES ESPECIALIZADOS AL GGF CON EL FIN DE ACOMPAÑAR, ORIENTAR Y APOYAR TODO EL PROCESO FINANCIERO, ASÍ COMO ATENDER TODOS LOS REQUERIMIENTOS E INFORMES INTERNOS Y EXTERNAS QUE DEBA CONTESTAR EL ÁREA. (ID: GGF-132).</t>
  </si>
  <si>
    <t>PRESTAR LOS SERVICIOS PROFESIONALES ESPECIALIZADOS PARA APOYAR AL GGF, DE MANERA TRANSVERSAL E INTEGRAL BRINDANDO ACOMPAÑAMIENTO CON EL SOPORTE Y ORIENTACIÓN A TODOS LOS PROCESOS DONDE SE REQUIERA. (ID: GGF-129)</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</si>
  <si>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SDRAME-050)</t>
  </si>
  <si>
    <t>PRESTAR LOS SERVICIOS PROFESIONALES BRINDANDO APOYO EN TEMAS RELACIONADOS CON LOS TRÁMITES INTERNOS DEL GGF, DESARROLLANDO OPERACIONES CONTABLES, PRESUPUESTALES Y DE PAGADURÍA, ACOGIÉNDOSE A LOS PROCEDIMIENTOS Y OBJETIVOS INSTITUCIONALES DE LA SSF. (ID: GGF-130)</t>
  </si>
  <si>
    <t>PRESTAR LOS SERVICIOS PROFESIONALES ESPECIALIZADOS EN EL ACOMPAÑAMIENTO DE LAS ACTIVIDADES PRESUPUESTALES, CONTABLES Y TRIBUTARIAS, REFLEJANDO EL REGISTRO DE LAS OPERACIONES EN EL SISTEMA FINANCIERO SIIF NACIÓN, DE CONFORMIDAD CON LOS PROCEDIMIENTOS ESTABLECIDOS EN LA SSF. (ID: GGF-131)</t>
  </si>
  <si>
    <t>001-2025</t>
  </si>
  <si>
    <t>002-2025</t>
  </si>
  <si>
    <t>003-2025</t>
  </si>
  <si>
    <t>004-2025</t>
  </si>
  <si>
    <t>005-2025</t>
  </si>
  <si>
    <t>006-2025</t>
  </si>
  <si>
    <t>007-2025</t>
  </si>
  <si>
    <t>009-2025</t>
  </si>
  <si>
    <t>010-2025</t>
  </si>
  <si>
    <t>IMPRENTA NACIONAL DE COLOMBIA</t>
  </si>
  <si>
    <t>REALIZAR LA PUBLICACIÓN DE LOS ACTOS ADMINISTRATIVOS Y DOCUMENTOS EXPEDIDOS POR LA SUPERINTENDENCIA DEL SUBSIDIO FAMILIAR QUE REQUIERAN DIVULGACIÓN EN EL DIARIO OFICIAL. (ID: GGD-022).</t>
  </si>
  <si>
    <t>008-2025</t>
  </si>
  <si>
    <t>011-2025</t>
  </si>
  <si>
    <t>012-2025</t>
  </si>
  <si>
    <t>013-2025</t>
  </si>
  <si>
    <t>014-2025</t>
  </si>
  <si>
    <t>015-2025</t>
  </si>
  <si>
    <t>016-2025</t>
  </si>
  <si>
    <t>018-2025</t>
  </si>
  <si>
    <t>019-2025</t>
  </si>
  <si>
    <t>020-2025</t>
  </si>
  <si>
    <t>021-2025</t>
  </si>
  <si>
    <t>022-2025</t>
  </si>
  <si>
    <t>023-2025</t>
  </si>
  <si>
    <t>024-2025</t>
  </si>
  <si>
    <t>025-2025</t>
  </si>
  <si>
    <t>026-2025</t>
  </si>
  <si>
    <t>027-2025</t>
  </si>
  <si>
    <t>028-2025</t>
  </si>
  <si>
    <t>029-2025</t>
  </si>
  <si>
    <t>030-2025</t>
  </si>
  <si>
    <t>031-2025</t>
  </si>
  <si>
    <t>032-2025</t>
  </si>
  <si>
    <t>033-2025</t>
  </si>
  <si>
    <t>034-2025</t>
  </si>
  <si>
    <t>036-2025</t>
  </si>
  <si>
    <t>037-2025</t>
  </si>
  <si>
    <t>038-2025</t>
  </si>
  <si>
    <t>039-2025</t>
  </si>
  <si>
    <t>040-2025</t>
  </si>
  <si>
    <t>041-2025</t>
  </si>
  <si>
    <t>042-2025</t>
  </si>
  <si>
    <t>043-2025</t>
  </si>
  <si>
    <t>044-2025</t>
  </si>
  <si>
    <t>045-2025</t>
  </si>
  <si>
    <t>046-2025</t>
  </si>
  <si>
    <t>047-2025</t>
  </si>
  <si>
    <t>049-2025</t>
  </si>
  <si>
    <t>050-2025</t>
  </si>
  <si>
    <t>051-2025</t>
  </si>
  <si>
    <t>052-2025</t>
  </si>
  <si>
    <t>053-2025</t>
  </si>
  <si>
    <t>054-2025</t>
  </si>
  <si>
    <t>055-2025</t>
  </si>
  <si>
    <t>056-2025</t>
  </si>
  <si>
    <t>059-2025</t>
  </si>
  <si>
    <t>060-2025</t>
  </si>
  <si>
    <t>061-2025</t>
  </si>
  <si>
    <t>062-2025</t>
  </si>
  <si>
    <t>063-2025</t>
  </si>
  <si>
    <t>064-2025</t>
  </si>
  <si>
    <t>065-2025</t>
  </si>
  <si>
    <t>066-2025</t>
  </si>
  <si>
    <t>067-2025</t>
  </si>
  <si>
    <t>068-2025</t>
  </si>
  <si>
    <t>069-2025</t>
  </si>
  <si>
    <t>070-2025</t>
  </si>
  <si>
    <t>071-2025</t>
  </si>
  <si>
    <t>072-2025</t>
  </si>
  <si>
    <t>073-2025</t>
  </si>
  <si>
    <t>074-2025</t>
  </si>
  <si>
    <t>075-2025</t>
  </si>
  <si>
    <t>BLANCA LUCIA SANCHEZ TORRES</t>
  </si>
  <si>
    <t>ANGELA MARIA ORTIZ VILLALBA</t>
  </si>
  <si>
    <t>OLGA LUCIA AVILA MARTINEZ</t>
  </si>
  <si>
    <t>MARIA TERESA VALVERDE RIVERA</t>
  </si>
  <si>
    <t>SANDRA MIREYA HINCAPIE JIMENEZ</t>
  </si>
  <si>
    <t>ALIX MARIA GOMEZ CANTILLO</t>
  </si>
  <si>
    <t>DIEGO ARMANDO RODRIGUEZ RODRIGUEZ</t>
  </si>
  <si>
    <t>NINI JOHANNA MENDOZA ROJAS</t>
  </si>
  <si>
    <t>BRAYAN SEBASTIAN CUERVO LANCHEROS</t>
  </si>
  <si>
    <t>GENNY MILENA PINZON RABELO</t>
  </si>
  <si>
    <t>DAIRO DE JESÚS AYALA MUÑOZ</t>
  </si>
  <si>
    <t>EDINSON FABIAN CASTRO BECERRA</t>
  </si>
  <si>
    <t>DANIEL QUINTERO RODRIGUEZ</t>
  </si>
  <si>
    <t>MIGUEL ANDERSON PUENTES MONTENEGRO</t>
  </si>
  <si>
    <t>NATHALIA ANDREA PINEDA CAMELO</t>
  </si>
  <si>
    <t>JORGE ELIECER AMAYA RAMIREZ</t>
  </si>
  <si>
    <t>DAVID QUINTERO RODRIGUEZ</t>
  </si>
  <si>
    <t>FANNY QUINTERO PARRA</t>
  </si>
  <si>
    <t>MARIA CRISTINA VILLAR NOVA</t>
  </si>
  <si>
    <t>CINDY JHOANNA CONTRERAS GONZALEZ</t>
  </si>
  <si>
    <t>SERGIO ADOLFO CARREÑO CASTILLO</t>
  </si>
  <si>
    <t>ANGELA MILENA GUTIERREZ PATIÑO</t>
  </si>
  <si>
    <t>JOHNNY ABAD MARTINEZ FONTALVO</t>
  </si>
  <si>
    <t>DIANA DEL PILAR ROMERO ÁVILA</t>
  </si>
  <si>
    <t>HÉCTOR JOSÉ MATAMOROS RODRÍGUEZ</t>
  </si>
  <si>
    <t>SILVIA CAMARO VELASCO</t>
  </si>
  <si>
    <t>PAULA ANDREA MORENO IBARRA</t>
  </si>
  <si>
    <t>HUGO FERNANDO AMAYA MURCIA</t>
  </si>
  <si>
    <t>OLBER FERNEY DELGADO LOZANO</t>
  </si>
  <si>
    <t>CINDY JOHANA CASTRO PRIETO</t>
  </si>
  <si>
    <t>WILMER HARVEY FERNANDEZ PEÑA</t>
  </si>
  <si>
    <t>FABIÁN ANDRÁS ACOSTA DIAZ</t>
  </si>
  <si>
    <t>JORGE NICOLÁS OLAYA MESA</t>
  </si>
  <si>
    <t>YENY CAROLINA MARTINEZ PULIDO</t>
  </si>
  <si>
    <t>RODRIGO BARRERO MUÑOZ</t>
  </si>
  <si>
    <t>KIMBERLY LORENA PINZÓN RODRÍGUEZ</t>
  </si>
  <si>
    <t>LILIANA ACOSTA ALMEIDA</t>
  </si>
  <si>
    <t>JORGE ROBERTO MORA LÓPEZ</t>
  </si>
  <si>
    <t>CÉSAR AUGUSTO QUIJANO HERNÁNDEZ</t>
  </si>
  <si>
    <t>REINEL FERNANDO PUENTES MORENO</t>
  </si>
  <si>
    <t>JUAN SEBASTIÁN FIGUEROA GONZÁLEZ</t>
  </si>
  <si>
    <t>MIGUEL ÁNGEL GUACAS SILVESTRE</t>
  </si>
  <si>
    <t>NOHRA LUCÍA FORERO CÉSPEDES</t>
  </si>
  <si>
    <t>CARLOS MANUEL ROMERO ROJAS</t>
  </si>
  <si>
    <t>DÍDIER SNEIDER CUERVO GÓMEZ</t>
  </si>
  <si>
    <t>DAVID ANDRÉS ACERO MORENO</t>
  </si>
  <si>
    <t>MILTON AUGUSTO PUENTES VEGA</t>
  </si>
  <si>
    <t>CÉSAR DANILO TORRALBA URREA</t>
  </si>
  <si>
    <t>YURI ZAMAR SEPÚLVEDA YARURO</t>
  </si>
  <si>
    <t>ANABEL JULIO ACEVEDO</t>
  </si>
  <si>
    <t>SANDRA PATRICIA NOCUA PARRA</t>
  </si>
  <si>
    <t>KAREN YULIETH BOHORQUEZ NIETO</t>
  </si>
  <si>
    <t>VERÓNICA DURANA ÁNGEL</t>
  </si>
  <si>
    <t>FREDY YARNEY ROMERO MORENO</t>
  </si>
  <si>
    <t>YISEL PATRICIA BARRIOS AHUMADA</t>
  </si>
  <si>
    <t>DIEGO ANDRÉS MUNAR BACA</t>
  </si>
  <si>
    <t>CARLOS ARTURO SILVA TAPIAS</t>
  </si>
  <si>
    <t>MANUEL FERNANDO RIVERA PINEDA</t>
  </si>
  <si>
    <t>HELDER ALEXIS PINEDA MUÑOZ</t>
  </si>
  <si>
    <t>PRESTACIÓN DE SERVICIOS PROFESIONALES PARA BRINDAR ACOMPAÑAMIENTO METODOLÓGICO EN LA FORMULACIÓN Y SEGUIMIENTO A LOS PROYECTOS DE INVERSIÓN DE LA SUPERINTENDENCIA DEL SUBSIDIO FAMILIAR. (ID: OAP-087).</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</si>
  <si>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t>
  </si>
  <si>
    <t>PRESTAR SERVICIOS PROFESIONALES PARA REALIZAR ACTIVIDADES RELACIONADAS CON LA REVISIÓN Y SUSTANCIACIÓN Y DEMÁS ACTUACIONES JURÍDICAS QUE SE REQUIERAN EN EL MARCO DEL PROCESO DE CONTROL LEGAL Y VIGILANCIA A CAJAS DE COMPENSACIÓN FAMILIAR, EN EL MARCO DEL PROYECTO "MODERNIZACIÓN DE LA INSPECCIÓN, VIGILANCIA Y CONTROL DE LA SUPERINTENDENCIA DEL SUBSIDIO FAMILIAR. (ID: SDRAME-055)</t>
  </si>
  <si>
    <t>PRESTAR DE SERVICIOS PROFESIONALES A LA OFICINA ASESORA DE PLANEACIÓN PARA BRINDAR ORIENTACIÓN EN LA FORMULACIÓN DEL ANTEPROYECTO DE PRESUPUESTO Y MGMP, ASÍ COMO PARA EFECTUAR LA FORMULACIÓN Y SEGUIMIENTO DE LOS PROYECTOS BPIN DE LA SUPERINTENDENCIA DEL SUBSIDIO FAMILIAR. (ID OAP-088).</t>
  </si>
  <si>
    <t>PRESTAR SERVICIOS PROFESIONALES PARA REALIZAR EL ACOMPAÑAMIENTO DE ACTIVIDADES RELACIONADAS CON EL MANEJO DEL SIIF NACIÓN, ANÁLISIS CONTABLES Y FINANCIEROS DEL GRUPO DE GESTIÓN ADMINISTRATIVA DE LA SECRETARIA GENERAL DE LA SUPERINTENDENCIA DEL SUBSIDIO FAMILIAR. (ID: GGA-016)</t>
  </si>
  <si>
    <t>PRESTAR SERVICIOS PROFESIONALES PARA REALIZAR LA REVISIÓN DE ACTOS ADMINISTRATIVOS Y DEMÁS DOCUMENTOS QUE SE GENEREN DENTRO DE LA DELEGADA PARA LA RESPONSABILIDAD ADMINISTRATIVA Y LAS MEDIDAS ESPECIALES, ASÍ COMO ADELANTAR TRÁMITES JURÍDICOS PROPIOS DE LA DEPENDENCIA, EN EL MARCO DEL PROYECTO "MODERNIZACIÓN DE LA INSPECCIÓN, VIGILANCIA Y CONTROL DE LA SUPERINTENDENCIA DEL SUBSIDIO FAMILIAR". (ID: SDRAME-054).</t>
  </si>
  <si>
    <t>PRESTAR SERVICIOS PROFESIONALES PARA EL ACOMPAÑAMIENTO JURÍDICO AL GRUPO DE GESTIÓN CONTRACTUAL EN LOS PROCESOS DE CONTRATACIÓN QUE SE ADELANTEN. (ID: GGC-036).</t>
  </si>
  <si>
    <t>PRESTAR SERVICIOS PROFESIONALES PARA EL ACOMPAÑAMIENTO JURÍDICO AL GRUPO DE GESTIÓN CONTRACTUAL EN LOS PROCESOS DE CONTRATACIÓN QUE SE ADELANTEN. (ID: GGC-031).</t>
  </si>
  <si>
    <t>PRESTAR SERVICIOS DE APOYO A LA GESTIÓN PARA LA ATENCIÓN DE INCIDENTES Y EVENTOS DEL SISTEMA DE INFORMACIÓN SIMON DE LA SUPERINTENDENCIA DEL SUBSIDIO FAMILIAR. (ID: OTIC-193).</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</si>
  <si>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SDRAME-073)</t>
  </si>
  <si>
    <t>PRESTAR SERVICIOS PROFESIONALES PARA BRINDAR ACOMPAÑAMIENTO EN LA GESTIÓN DE LA PLATAFORMA DE GESTIÓN INSTITUCIONAL Y DESARROLLO DE AUTOMATIZACIONES DE PROCESOS DE LA SUPERINTENDENCIA DEL SUBSIDIO FAMILIAR, CON ID: OTIC-190.</t>
  </si>
  <si>
    <t>PRESTAR SERVICIOS DE APOYO A LA GESTIÓN AL GRUPO DE GESTIÓN CONTRACTUAL EN EL DESARROLLO DE ACTIVIDADES OPERATIVAS Y ADMINISTRATIVAS DE ACUERDO A LAS NECESIDADES DEL ÁREA. (ID: GGC-033).</t>
  </si>
  <si>
    <t>PRESTAR SERVICIOS PROFESIONALES JURÍDICOS PARA ADELANTAR ACTIVIDADES Y TRÁMITES A CARGO DE LA DELEGADA PARA LA RESPONSABILIDAD ADMINISTRATIVA Y LAS MEDIDAS ESPECIALES EN RELACIÓN CON SU FUNCIÓN DE VIGILANCIA, EN EL MARCO DEL PROYECTO "MODERNIZACIÓN DE LA INSPECCIÓN, VIGILANCIA Y CONTROL DE LA SUPERINTENDENCIA DEL SUBSIDIO FAMILIAR". (ID: SDRAME-079).</t>
  </si>
  <si>
    <t>PRESTAR SERVICIOS PROFESIONALES PARA APOYAR LA ESTRUCTURACIÓN Y SEGUIMIENTO DE PROCESOS DE TECNOLOGÍAS DE LA INFORMACIÓN Y LAS COMUNICACIONES DE LA SUPERINTENDENCIA DEL SUBSIDIO FAMILIAR. (ID OTIC-201).</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</si>
  <si>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SDRAME-049)</t>
  </si>
  <si>
    <t>PRESTAR SERVICIOS PROFESIONALES PARA APOYAR LAS ACTIVIDADES DE ACTUALIZACIÓN Y FORTALECIMIENTO DEL SISTEMA DE GESTIÓN DE CALIDAD, EN ARTICULACIÓN CON EL MODELO INTEGRADO DE PLANEACIÓN Y GESTIÓN - MIPG, LA NORMATIVIDAD VIGENTE, EL MEJORAMIENTO CONTINUO Y LAS DIRECTRICES DE LA ALTA DIRECCIÓN. (ID: OAP-092)</t>
  </si>
  <si>
    <t>PRESTAR SERVICIOS PROFESIONALES PARA BRINDAR APOYO EN LAS ACTIVIDADES DE PLANEACIÓN ESTRATÉGICA DE LA ARQUITECTURA DE INFRAESTRUCTURA TECNOLÓGICA DE LA ENTIDAD Y LA GESTIÓN DE CAPACIDAD Y DE DISPONIBILIDAD DE SOPORTE A LOS SERVICIOS TI DE LA SUPERINTENDENCIA DEL SUBSIDIO FAMILIAR. (ID: OTIC-186).</t>
  </si>
  <si>
    <t>CONTRATAR LOS SERVICIOS PROFESIONALES PARA BRINDAR ACOMPAÑAMIENTO EN LA PLANEACIÓN, SEGUIMIENTO Y CONTROL DE LOS PROYECTOS DE INFRAESTRUCTURA TECNOLÓGICA Y SEGURIDAD DE LA INFORMACIÓN. (ID: OTIC-226)</t>
  </si>
  <si>
    <t>PRESTAR SERVICIOS PROFESIONALES PARA APOYAR LAS ACTIVIDADES DE GOBIERNO DEL SISTEMA DE INFORMACIÓN - SIMON DE LA SUPERINTENDENCIA DEL SUBSIDIO FAMILIAR. (ID: OTIC-192).</t>
  </si>
  <si>
    <t>PRESTAR SERVICIOS PROFESIONALES PARA EL APOYO EN LA PLANEACIÓN, SEGUIMIENTO Y CONTROL DE LOS PROYECTOS DE DESARROLLO DE LOS SISTEMAS DE INFORMACIÓN DE LA SUPERINTENDENCIA DEL SUBSIDIO FAMILIAR. (ID: OTIC-175).</t>
  </si>
  <si>
    <t>PRESTAR SERVICIOS PROFESIONALES EN EL APOYO JURÍDICO Y CONTRACTUAL DE LOS PROCESOS DEL GRUPO DE GESTIÓN DEL TALENTO HUMANO DE LA SUPERINTENDENCIA DEL SUBSIDIO FAMILIAR (ID: GGTH-168).</t>
  </si>
  <si>
    <t>PRESTAR SERVICIOS PROFESIONALES PARA APOYAR LA GESTIÓN DE LA INFRAESTRUCTURA TECNOLÓGICA DE LA ENTIDAD DISPUESTA EN NUBE PÚBLICA Y EN PRIVADA DE LA SUPERINTENDENCIA DEL SUBSIDIO FAMILIAR. (ID: OTIC-178)</t>
  </si>
  <si>
    <t>PRESTAR SERVICIOS PROFESIONALES COMO DESARROLLADOR PARA APOYAR LAS AUTOMATIZACIONES EN LA PLATAFORMA DE GESTIÓN DE PROCESOS BPM DE LA SUPERINTENDENCIA DEL SUBSIDIO FAMILIAR. (ID: OTIC-182)</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</si>
  <si>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t>
  </si>
  <si>
    <t>PRESTAR SERVICIOS PROFESIONALES PARA APOYAR LA EJECUCIÓN Y FORTALECIMIENTO DE ACTIVIDADES RELACIONADAS CON EL COMPONENTE DE PARTICIPACIÓN CIUDADANA LIDERADOS POR LA OFICINA ASESORA DE PLANEACIÓN DE LA SUPERINTENDENCIA DE SUBSIDIO FAMILIAR. (ID: OAP 096)</t>
  </si>
  <si>
    <t>PRESTAR LOS SERVICIOS PROFESIONALES PARA APOYAR LA IMPLEMENTACIÓN DE POLÍTICAS Y LINEAMIENTOS DEL GOBIERNO Y GESTIÓN DE TECNOLOGÍA DE INFORMACIÓN DE LA SUPERINTENDENCIA DEL SUBSIDIO FAMILIAR. (ID: OTIC-204)</t>
  </si>
  <si>
    <t>PRESTAR LOS SERVICIOS PROFESIONALES PARA ADELANTAR ACTIVIDADES DENTRO DE LA DELEGADA PARA LA RESPONSABILIDAD ADMINISTRATIVA Y LAS MEDIDAS ESPECIALES, EN LA GENERACIÓN DE ESTRATEGIAS PARA EL MEJORAMIENTO DEL ÍNDICE DE DESEMPEÑO INSTITUCIONAL EN EL MARCO DE LA IMPLEMENTACIÓN DEL MODELO INTEGRADO DE PLANEACIÓN Y GESTIÓN MIPG. (ID: SDRAME-082)</t>
  </si>
  <si>
    <t>PRESTAR SERVICIOS PROFESIONALES PARA APOYAR LA GESTIÓN DE LOS DIFERENTES ELEMENTOS DE INFRAESTRUCTURA TECNOLÓGICA DE LA SUPERINTENDENCIA DEL SUBSIDIO FAMILIAR. (ID: OTIC-179).</t>
  </si>
  <si>
    <t>PRESTAR SERVICIOS PROFESIONALES PARA APOYAR LA GENERACIÓN Y APLICACIÓN DE LINEAMIENTOS DE MEJORA Y MODERNIZACIÓN A TRAVÉS DE LA DESCRIPCIÓN DE MÉTODOS, HERRAMIENTAS ANALÍTICAS, PROCESOS Y ASPECTOS TÉCNICOS DEL SISTEMA DEL SUBSIDIO FAMILIAR PARA EL MEJORAMIENTO DE LA RELACIÓN CON LA CIUDADANÍA Y LA INTERACCIÓN CON LOS GRUPOS DE VALOR. (ID: OPU-113).</t>
  </si>
  <si>
    <t>PRESTAR SERVICIOS DE APOYO A LA GESTIÓN PARA EL SOPORTE DE SERVICIOS DE TI RELACIONADOS CON PERIFÉRICOS, HERRAMIENTAS DE OFIMÁTICA Y COMPONENTES TECNOLÓGICOS EN LA SUPERINTENDENCIA DEL SUBSIDIO FAMILIAR. (ID: OTIC-195).</t>
  </si>
  <si>
    <t>PRESTAR SERVICIOS PROFESIONALES PARA APOYAR LA IMPLEMENTACIÓN Y SEGUIMIENTO A DIRECTRICES EN MATERIA DE ATENCIÓN FOCALIZADA EN POBLACIÓN CON DISCAPACIDAD AUDITIVA E INTERPRETACIÓN EN LENGUA DE SEÑAS COLOMBIANA, PARA FORTALECER LA ATENCIÓN Y EL RELACIONAMIENTO CON POBLACIÓN DIFERENCIAL. (ID: OPU-116)</t>
  </si>
  <si>
    <t>PRESTAR SERVICIOS DE APOYO A LA GESTIÓN PARA LA ATENCIÓN DE INCIDENTES Y EVENTOS DEL SISTEMA DE INFORMACIÓN SIMON DE LA SUPERINTENDENCIA DEL SUBSIDIO FAMILIAR. (ID: OTIC-200).</t>
  </si>
  <si>
    <t>PRESTAR SERVICIOS PROFESIONALES PARA APOYAR EL PROCESO DE VERIFICACIÓN DE LINEAMIENTOS JURÍDICOS DE LOS SERVICIOS, PROGRAMAS SOCIALES Y OPERACIONES QUE REALIZAN LAS CAJAS DE COMPENSACIÓN FAMILIAR, PARA EL FORTALECIMIENTO DEL PROCESO DE IVC. (ID: SDG-273)</t>
  </si>
  <si>
    <t>PRESTAR SERVICIOS PROFESIONALES PARA APOYAR EL FORTALECIMIENTO Y MEJORA CONTINUA DEL MODELO INTEGRADO DE PLANEACIÓN Y GESTIÓN (MIPG) DE LA SUPERINTENDENCIA DEL SUBSIDIO FAMILIAR, CON EL FIN DE CONTRIBUIR A LA GESTIÓN PÚBLICA DE LA ENTIDAD. (ID: OAP-095).</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</si>
  <si>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OPU-105)</t>
  </si>
  <si>
    <t>PRESTAR SERVICIOS PROFESIONALES PARA REALIZAR EL ACOMPAÑAMIENTO A LOS PROCESOS EN LA REVISIÓN Y ACTUALIZACIÓN DE LOS MAPAS DE RIESGOS DE GESTIÓN, DE INTEGRIDAD Y FISCALES DE LA SUPERINTENDENCIA DEL SUBSIDIO FAMILIAR, ASÍ COMO PARA EL FORTALECIMIENTO DEL PLAN DE CONTINUIDAD DEL NEGOCIO DE LA ENTIDAD. (ID: OAP-090)</t>
  </si>
  <si>
    <t>CONTRATAR LOS SERVICIOS PROFESIONALES PARA BRINDAR ACOMPAÑAMIENTO EN LA PLANEACIÓN, SEGUIMIENTO Y CONTROL DE LOS PROYECTOS DE LA PLATAFORMA DE GESTIÓN DE PROCESOS BPM DE LA SUPERINTENDENCIA DEL SUBSIDIO FAMILIAR.. (ID: OTIC-187).</t>
  </si>
  <si>
    <t>PRESTAR SERVICIOS DE APOYO A LA GESTIÓN PARA BRINDAR INFORMACIÓN DEL SISTEMA DEL SUBSIDIO FAMILIAR A LOS GRUPOS DE INTERÉS Y DE VALOR DE LA SUPERINTENDENCIA DEL SUBSIDIO FAMILIAR A TRAVÉS DE LOS CANALES DE ATENCIÓN DISPUESTOS POR LA ENTIDAD. (ID: OPU-102)</t>
  </si>
  <si>
    <t>PRESTAR LOS SERVICIOS PROFESIONALES PARA APOYAR EL COMPONENTE FINANCIERO EN LA ESTRUCTURACIÓN Y DELIMITACIÓN DE INDICADORES EN EL MARCO DE LA MODERNIZACIÓN DE IVC DE LA SUPERINTENDENCIA DEL SUBSIDIO FAMILIAR. (ID: SDG-301).</t>
  </si>
  <si>
    <t>PRESTAR SERVICIOS DE APOYO A LA GESTIÓN EN LOS PROCESOS RELACIONADOS CON LA LABOR DE IVC EN LA SUPERINTENDENCIA DELEGADA PARA LA GESTIÓN. (ID: SDG-287)</t>
  </si>
  <si>
    <t>PRESTAR SERVICIOS PROFESIONALES COMO DESARROLLO DE SOFTWARE PARA LA ATENCIÓN DE EVENTOS DEL SISTEMA DE INFORMACIÓN SIMON. (ID: OTIC-174)</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</si>
  <si>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 (ID: OPU-106).</t>
  </si>
  <si>
    <t>PRESTAR SERVICIOS PROFESIONALES PARA CONTRIBUIR EN LA FORMULACIÓN Y DESARROLLO DE INDICADORES EN MATERIA DE SERVICIOS SOCIALES Y FONDOS DE LEY DE LAS CAJAS DE COMPENSACIÓN FAMILIAR. (ID: SDG-280)</t>
  </si>
  <si>
    <t>PRESTAR LOS SERVICIOS PROFESIONALES PARA ACOMPAÑAR LA CONSOLIDACIÓN Y REPORTE DE LA INFORMACIÓN SOLICITADA POR LAS ÁREAS DE LA ENTIDAD. (ID: OAJ-139)</t>
  </si>
  <si>
    <t>PRESTAR SERVICIOS PROFESIONALES PARA APOYAR EL ANÁLISIS, ESTRUCTURACIÓN Y DESARROLLO DE SOLUCIONES ANALÍTICAS BASADAS EN DATOS DE LA SUPERINTENDENCIA DEL SUBSIDIO FAMILIAR. (ID: OTIC-180)</t>
  </si>
  <si>
    <t>PRESTAR SERVICIOS PROFESIONALES PARA APOYAR LA GESTIÓN DE BASES DE DATOS DE LOS SISTEMAS DE INFORMACIÓN DE LA SUPERINTENDENCIA DEL SUBSIDIO FAMILIAR (ID: OTIC-181).</t>
  </si>
  <si>
    <t>PRESTAR SERVICIOS PROFESIONALES COMO DESARROLLADOR PARA APOYAR EL BACK END DE LOS SISTEMAS DE INFORMACIÓN, PROCESOS DE INTEGRACIÓN Y MIGRACIÓN DE DATOS DE LA SUPERINTENDENCIA DEL SUBSIDIO FAMILIAR. (ID: OTIC-183)</t>
  </si>
  <si>
    <t>PRESTAR LOS SERVICIOS PROFESIONALES PARA APOYAR LA REVISIÓN DE LOS ASPECTOS FINANCIEROS Y CONTABLES DEL PROCESO DE VISITAS A ENTES VIGILADOS DE ACUERDO A LA COMPETENCIA DE LA SUPERINTENDENCIA DELEGADA PARA LA GESTIÓN. (ID: SDG-270).</t>
  </si>
  <si>
    <t>PRESTAR SERVICIOS DE APOYO A LA GESTIÓN PARA BRINDAR INFORMACIÓN DEL SISTEMA DEL SUBSIDIO FAMILIAR A LOS GRUPOS DE INTERÉS Y DE VALOR DE LA SUPERINTENDENCIA DEL SUBSIDIO FAMILIAR A TRAVÉS DE LOS CANALES DE ATENCIÓN DISPUESTOS POR LA ENTIDAD. (ID: OPU-103).</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</si>
  <si>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 (ID: OPU-107)</t>
  </si>
  <si>
    <t>PRESTAR LOS SERVICIOS DE APOYO A LA GESTIÓN AL GRUPO DE GESTION DOCUMENTAL Y NOTIFICACIONES DE LA SUPERINTENDENCIA DEL SUBSIDIO FAMILIAR. (ID: GGD-024)</t>
  </si>
  <si>
    <t>PRESTAR SERVICIOS PROFESIONALES EN LA GESTIÓN DE TRAMITES ADMINISTRATIVOS Y SEGUIMIENTO DE LAS ACTIVIDADES DESARROLLADAS POR LA DELEGADA DE RESPONSABILIDAD ADMINISTRATIVA Y LAS MEDIDAS ESPECIALES, EN EL MARCO DEL PROYECTO" MODERNIZACIÓN DE LA INSPECCIÓN, VIGILANCIA Y CONTROL DE LA SUPERINTENDENCIA DEL SUBSIDIO FAMILIAR". (ID: SDRAME-053)</t>
  </si>
  <si>
    <t>PRESTAR LOS SERVICIOS PROFESIONALES PARA APOYAR EL DESARROLLO DE LA ACTIVIDAD DEL PROYECTO DE INVERSIÓN A CARGO DE LA OFICINA ASESORA JURÍDICA, ASÍ COMO LA GESTIÓN DE COBRO COACTIVO A CARGO DE LA SUPERINTENDENCIA DEL SUBSIDIO FAMILIAR. (ID: OAJ-135)</t>
  </si>
  <si>
    <t>PRESTAR SERVICIOS PROFESIONALES PARA APOYAR EL FORTALECIMIENTO DEL DESARROLLO DEL SISTEMA INTEGRADO DE ALERTAS TEMPRANAS EN LA SUPERINTENDENCIA DELEGADA PARA LA GESTIÓN, COMO HERRAMIENTA DE MODERNIZACIÓN DE LA IVC DE LA SUPERSUBSIDIO. (ID: SDG-279).</t>
  </si>
  <si>
    <t>PRESTAR SERVICIOS PROFESIONALES PARA BRINDAR ACOMPAÑAMIENTO EN EL ANÁLISIS, MODELAMIENTO Y DESARROLLO DE SOLUCIONES ANALÍTICAS EN LA SUPERINTENDENCIA DEL SUBSIDIO FAMILIAR. (ID: OTIC-177)</t>
  </si>
  <si>
    <t>PRESTAR SERVICIOS PROFESIONALES PARA APOYAR LA GESTIÓN EN LA PLANEACIÓN, SEGUIMIENTO Y CONTROL DE LOS PROYECTOS ESTRATÉGICOS DE TECNOLOGÍA DE LA SUPERINTENDENCIA DEL SUBSIDIO FAMILIAR (ID: OTIC-227).</t>
  </si>
  <si>
    <t>PRESTAR LOS SERVICIOS PROFESIONALES PARA APOYAR LAS ACTIVIDADES RELACIONADAS CON LA IVC DE LOS FONDOS DE LEY Y LOS PROYECTOS DE INVERSIÓN EJECUTADOS POR LAS CAJAS DE COMPENSACIÓN FAMILIAR. (ID: SDG-291).</t>
  </si>
  <si>
    <t>PRESTAR SERVICIOS DE APOYO A LA GESTIÓN EN LOS PROCESOS RELACIONADOS CON LA LABOR DE IVC EN LA SUPERINTENDENCIA DELEGADA PARA LA GESTIÓN. (ID: SDG-289).</t>
  </si>
  <si>
    <t>PRESTAR SERVICIOS PROFESIONALES PARA EL ACOMPAÑAMIENTO EN EL DESARROLLO Y VERIFICACIÓN DE LA APLICACIÓN DE ESTRATEGIAS PARA EL CIERRE DE BRECHAS EN LA OPERACIÓN ESTADÍSTICA Y LOS ESTUDIOS E INVESTIGACIONES ADELANTADOS POR LA SDEEEP, QUE MEJORE LA CALIFICACIÓN POSIBLE DURANTE EL PROCESO DE AUTODIAGNÓSTICO Y EVALUACIÓN DEL ÍNDICE DE DESEMPEÑO INSTITUCIONAL A TRAVÉS DEL FURAG. (ID: SDEEEP-266)</t>
  </si>
  <si>
    <t>PRESTAR SERVICIOS PROFESIONALES PARA EL ACOMPAÑAMIENTO JURÍDICO AL GRUPO DE GESTIÓN CONTRACTUAL EN LOS PROCESOS DE CONTRATACIÓN QUE SE ADELANTEN. (ID: GGC-032).</t>
  </si>
  <si>
    <t>SITUANDO SAS</t>
  </si>
  <si>
    <t>CONTRATAR A TÍTULO DE ARRENDAMIENTO 2.750 MTS2 COMPRENDIDOS ENTRE LOS PISOS 3, 4 Y 7 UBICADOS EN LA CARRERA 69 NO. 25B-44, DEBIDAMENTE ADECUADO, CON OFICINAS FUNCIONALES Y AJUSTADAS A LAS NECESIDADES DE LA ENTIDAD Y 53 PARQUEADEROS, PARA EL FUNCIONAMIENTO DE LA SEDE DE LA SUPERINTENDENCIA DEL SUBSIDIO FAMILIAR.</t>
  </si>
  <si>
    <t>403-2022</t>
  </si>
  <si>
    <t>% EJECUCION (PAGOS) AL 31-11-2025</t>
  </si>
  <si>
    <t>PRESTAR EL SERVICIO INTEGRAL DE ASEO Y CAFETERÍA INCLUIDOS LOS SUMINISTROS REQUERIDOS EN LA SUPERINTENDENCIA DEL SUBSIDIO FAMILIAR. (ID: GGA-835)</t>
  </si>
  <si>
    <t>CONSORCIO KIOS</t>
  </si>
  <si>
    <t>422-2024</t>
  </si>
  <si>
    <t xml:space="preserve"> ANUBIS LTDA</t>
  </si>
  <si>
    <t>CONTRATAR EL SERVICIO DE VIGILANCIA Y SEGURIDAD PRIVADA PARA LAS SEDES DE LA SUPERINTENDENCIA DEL SUBSIDIO FAMILIAR. (ID: 4134).</t>
  </si>
  <si>
    <t>373-2023</t>
  </si>
  <si>
    <t>GRUPO EDS AUTOGAS S.A.S.</t>
  </si>
  <si>
    <t>Adquirir el suministro de Combustible en la ciudad de Bogotá para el parque automotor de la Superintendencia del Subsidio Familiar (ID4110).</t>
  </si>
  <si>
    <t>364-2023</t>
  </si>
  <si>
    <t>PRESTAR LOS SERVICIOS DE APOYO A LA GESTIÓN PARA LA IMPLEMENTACIÓN DE CURSOS EN MODALIDAD ELEARNING DE ACUERDO CON EL PLAN DE USO Y APROPIACIÓN QUE SE ADELANTA EN LA OFICINA OTIC DE LA SUPERINTENDENCIA DEL SUBSIDIO FAMILIAR. ID: OTIC -216</t>
  </si>
  <si>
    <t>057-2025</t>
  </si>
  <si>
    <t>MIGUEL ÁNGEL MEDINA CHICUAZUQUE</t>
  </si>
  <si>
    <t>076-2025</t>
  </si>
  <si>
    <t>077-2025</t>
  </si>
  <si>
    <t>078-2025</t>
  </si>
  <si>
    <t>079-2025</t>
  </si>
  <si>
    <t>080-2025</t>
  </si>
  <si>
    <t>081-2025</t>
  </si>
  <si>
    <t>082-2025</t>
  </si>
  <si>
    <t>083-2025</t>
  </si>
  <si>
    <t>084-2025</t>
  </si>
  <si>
    <t>085-2025</t>
  </si>
  <si>
    <t>086-2025</t>
  </si>
  <si>
    <t>087-2025</t>
  </si>
  <si>
    <t>088-2025</t>
  </si>
  <si>
    <t>089-2025</t>
  </si>
  <si>
    <t>090-2025</t>
  </si>
  <si>
    <t>091-2025</t>
  </si>
  <si>
    <t>092-2025</t>
  </si>
  <si>
    <t>093-2025</t>
  </si>
  <si>
    <t>094-2025</t>
  </si>
  <si>
    <t>095-2025</t>
  </si>
  <si>
    <t>096-2025</t>
  </si>
  <si>
    <t>097-2025</t>
  </si>
  <si>
    <t>098-2025</t>
  </si>
  <si>
    <t>099-2025</t>
  </si>
  <si>
    <t>100-2025</t>
  </si>
  <si>
    <t>101-2025</t>
  </si>
  <si>
    <t>102-2025</t>
  </si>
  <si>
    <t>103-2025</t>
  </si>
  <si>
    <t>104-2025</t>
  </si>
  <si>
    <t>105-2025</t>
  </si>
  <si>
    <t>106-2025</t>
  </si>
  <si>
    <t>107-2025</t>
  </si>
  <si>
    <t>108-2025</t>
  </si>
  <si>
    <t>109-2025</t>
  </si>
  <si>
    <t>110-2025</t>
  </si>
  <si>
    <t>111-2025</t>
  </si>
  <si>
    <t>112-2025</t>
  </si>
  <si>
    <t>113-2025</t>
  </si>
  <si>
    <t>114-2025</t>
  </si>
  <si>
    <t>115-2025</t>
  </si>
  <si>
    <t>117-2025</t>
  </si>
  <si>
    <t>118-2025</t>
  </si>
  <si>
    <t>119-2025</t>
  </si>
  <si>
    <t>LEISIS MARÍA HERNANDEZ URECHE</t>
  </si>
  <si>
    <t>NIDIA JOHANNA PRÓDIGO SARMIENTO</t>
  </si>
  <si>
    <t>CAROL ZAPATA HUERTAS</t>
  </si>
  <si>
    <t>RODRIGO ANDRÉS PLAZAS YEPES</t>
  </si>
  <si>
    <t>ZAMIRA ROVIRA LONDOÑO</t>
  </si>
  <si>
    <t>CÉSAR ALEXANDER GAITÁN MONROY</t>
  </si>
  <si>
    <t>JOHN ALEXANDER GUZMAN LUGO</t>
  </si>
  <si>
    <t>YEIMI ALEJANDRA FUENTES FONTECHA</t>
  </si>
  <si>
    <t>JENNIFER ANDREA BETIN MEJIA</t>
  </si>
  <si>
    <t>NASLY DANIELA YEPES FIGUEROA</t>
  </si>
  <si>
    <t>FABIAN VICENTE MAYOR OLAYA</t>
  </si>
  <si>
    <t>HECTOR HUGO HERRERA RODRIGUEZ</t>
  </si>
  <si>
    <t>MAURICIO URREGO BOTIA</t>
  </si>
  <si>
    <t>ZULMA PAOLA RUIZ OSORIO</t>
  </si>
  <si>
    <t>LUISA VIVIANA ACOSTA ORTIZ</t>
  </si>
  <si>
    <t>EFRAÍN DÍAZ MEJÍA</t>
  </si>
  <si>
    <t>ANDREA YOHANA RODRIGUEZ DELGADO</t>
  </si>
  <si>
    <t>DIEGO ARMANDO FAJARDO PINZON</t>
  </si>
  <si>
    <t>ANDRÉS CAMILO BOHORQUEZ MONTAÑA</t>
  </si>
  <si>
    <t>LAURA VIVIANA DELGADO MORALES</t>
  </si>
  <si>
    <t>YOBANNI TORRES MOLINA</t>
  </si>
  <si>
    <t>FERNANDO ALFONSO DIAZ MEDINA</t>
  </si>
  <si>
    <t>ANDREA LUCÍA DAZA DANGOND</t>
  </si>
  <si>
    <t>LAURA ISABELLA CARO RIVERA</t>
  </si>
  <si>
    <t>MARIA DE LOS ANGELES MEJIA GARCIA</t>
  </si>
  <si>
    <t>LAURA DANIELA RODRIGUEZ BORDA</t>
  </si>
  <si>
    <t>COMUNICACIÓN CELULAR S.A COMCEL S.A</t>
  </si>
  <si>
    <t>ENNA LISBETH ONATRA CAMPO</t>
  </si>
  <si>
    <t>ANGELICA VIVIANA MICAN PIÑEROS</t>
  </si>
  <si>
    <t>SANDRA LORENA ALVAREZ PAVA</t>
  </si>
  <si>
    <t>CARLOS ANDRES PATIÑO GRAJALES</t>
  </si>
  <si>
    <t>EDDIER ANTONIO BURITICA CARDONA</t>
  </si>
  <si>
    <t>MABEL ROCIO CASTILLO PINEDA</t>
  </si>
  <si>
    <t>IVAN AUGUSTO BRICEÑO LINARES</t>
  </si>
  <si>
    <t>ANGIE CATHERINE MATEUS ORTIZ</t>
  </si>
  <si>
    <t>ANDRES EDUARDO ROLDAN MARTINEZ</t>
  </si>
  <si>
    <t>GLADYS LILIANA CELIS LEÓN</t>
  </si>
  <si>
    <t>CARLOS JULIO MARTINEZ TAMARA</t>
  </si>
  <si>
    <t>JENNYFER FORERO VALENZUELA</t>
  </si>
  <si>
    <t>CAROLINA LOPEZ DURAN</t>
  </si>
  <si>
    <t>JOSE ALBERTO FORERO TRIANA</t>
  </si>
  <si>
    <t>LUISA FERNANDA GALAN VIASUS</t>
  </si>
  <si>
    <t>PRESTAR SERVICIOS PROFESIONALES PARA APOYAR LAS ACTIVIDADES RELACIONADAS CON LA PLANEACIÓN, SEGUIMIENTO Y LA GESTIÓN ADMINISTRATIVA Y FINANCIERA DE LOS PLANES, PROGRAMAS Y PROYECTOS DE INVERSIÓN PARA OBRAS O SERVICIOS SOCIALES QUE DESARROLLEN LAS CAJAS DE COMPENSACIÓN FAMILIAR. (ID: SDEEEP-239).</t>
  </si>
  <si>
    <t>PRESTAR SERVICIOS PROFESIONALES PARA APOYAR LAS ACTIVIDADES DE PLANEACIÓN ESTRATÉGICA DE LA ARQUITECTURA DE SISTEMAS DE INFORMACIÓN DE LA ENTIDAD DE LA SUPERINTENDENCIA DEL SUBSIDIO FAMILIAR. (ID: OTIC-231).</t>
  </si>
  <si>
    <t>PRESTAR SERVICIOS PROFESIONALES CON EL FIN DE BRINDAR APOYO AL GRUPO DE GESTIÓN DEL TALENTO HUMANO EN LA PROYECCIÓN Y LIQUIDACIÓN DE LA NÓMINA DE LA SUPERINTENDENCIA DEL SUBSIDIO FAMILIAR DE CONFORMIDAD CON LA NORMATIVIDAD LEGAL VIGENTE. (ID: GGTH-161)</t>
  </si>
  <si>
    <t>PRESTAR SERVICIOS PROFESIONALES ESPECIALIZADOS PARA APOYAR EL SEGUIMIENTO FINANCIERO Y CONTABLE SOBRE LAS COMPETENCIAS PROPIAS DEL DESPACHO DE LA SUPERINTENDENCIA DE SUBSIDIO FAMILIAR. (ID: DES-040)</t>
  </si>
  <si>
    <t>PRESTAR SERVICIOS PROFESIONALES PARA APOYAR EL SEGUIMIENTO A LAS CAJAS DE COMPENSACIÓN FAMILIAR, EN EL PROCESO DE IVC. (ID: SDG-282)</t>
  </si>
  <si>
    <t>PRESTAR SERVICIOS PROFESIONALES PARA REALIZAR ANALISIS DEL SECTOR REQUERIDOS DENTRO DE LOS PROCESOS CONTRACTUALES Y BASES DE DATOS QUE SE REQUIERAN EN EL GRUPO DE GESTIÓN CONTRACTUAL. (ID:GGC-034).</t>
  </si>
  <si>
    <t>PRESTAR SERVICIOS DE APOYO A LA GESTION AL GRUPO DE TALENTO HUMANO EN LAS ACTIVIDADES OPERATIVAS INHERENTES A LA NOMINA DE LA SSF. (ID: GGTH-154)</t>
  </si>
  <si>
    <t>PRESTAR SERVICIOS PROFESIONALES EN EL ACOMPAÑAMIENTO DE LA REALIZACIÓN, REVISIÓN Y VERIFICACIÓN DE LA APLICACIÓN DE LOS LINEAMIENTOS VIGENTES DEL SISTEMA DEL SUBSIDIO FAMILIAR, EN EL MARCO DE LA MODERNIZACIÓN DE IVC DE LA SUPERINTENDENCIA DEL SUBSIDIO FAMILIAR. (ID: SDG-285).</t>
  </si>
  <si>
    <t>PRESTAR SERVICIOS PROFESIONALES PARA APOYAR LA PROYECCIÓN, REVISIÓN Y ANÁLISIS DE LOS DOCUMENTOS JURÍDICOS QUE REQUIERA EL DESPACHO DE LA SUPERINTENDENCIA DE SUBSIDIO FAMILIAR. (ID: DES-313)</t>
  </si>
  <si>
    <t xml:space="preserve">	PRESTAR SERVICIOS PROFESIONALES PARA EL ACOMPAÑAMIENTO JURÍDICO AL GRUPO DE GESTIÓN CONTRACTUAL EN LOS PROCESOS DE CONTRATACIÓN QUE SE ADELANTEN. (Número: GGC-035)</t>
  </si>
  <si>
    <t>PRESTAR LOS SERVICIOS PROFESIONALES ESPECIALIZADOS EN EL ACOMPAÑAMIENTO Y REVISIÓN DE LOS TRAMITES JURÍDICOS DE LA SECRETARIA GENERAL DE LA SUPERINTENDENCIA DE SUBSIDIO FAMILIAR. (Número: SG-083)</t>
  </si>
  <si>
    <t>PRESTAR LOS SERVICIOS PROFESIONALES EN EL ACOMPAÑAMIENTO DE ASUNTOS JURÍDICOS PARA REALIZAR VALIDACIONES DE LA INFORMACIÓN DE LOS SERVICIOS, PROGRAMAS SOCIALES Y OPERACIONES QUE PRESTAN LAS CAJAS DE COMPENSACIÓN. (Número: SDG-274)</t>
  </si>
  <si>
    <t>PRESTAR LOS SERVICIOS PROFESIONALES PARA BRINDAR APOYO EN LAS ACTIVIDADES DE PLANEACIÓN ESTRATÉGICA DE LA ARQUITECTURA DE INFORMACIÓN DE LA SUPERINTENDENCIA DEL SUBSIDIO FAMILIAR. (Número: OTIC-203).</t>
  </si>
  <si>
    <t>PRESTAR SERVICIOS PROFESIONALES PARA REALIZAR ACTIVIDADES DE SUSTANCIACIÓN Y ADELANTAMIENTO DE ACTIVIDADES JURÍDICAS DENTRO DE LOS PROCESOS QUE REALIZA LA DELEGADA PARA LA RESPONSABILIDAD ADMINISTRATIVA Y LAS MEDIDAS ESPECIALES, ASÍ COMO REALIZAR EL ACOMPAÑAMIENTO A LA SUPERVISIÓN DE LOS CONTRATOS DE LA COORDINACIÓN DE RESPONSABILIDAD ADMINISTRATIVA, EN EL MARCO DEL PROYECTO "MODERNIZACIÓN DE LA INSPECCIÓN, VIGILANCIA Y CONTROL DE LA SUPERINTENDENCIA DEL SUBSIDIO FAMILIAR. (ID: SDRAME-060).</t>
  </si>
  <si>
    <t xml:space="preserve">	PRESTAR SERVICIOS PROFESIONALES AL GRUPO DE GESTIÓN DEL TALENTO HUMANO PARA REALIZAR ACOMPAÑAMIENTO EN LAS ACTIVIDADES PROPIAS A LA IMPLEMENTACIÓN DEL SISTEMA DE GESTIÓN DE SEGURIDAD Y SALUD EN EL TRABAJO SG-SST Y SEGUIMIENTO A LA POLÍTICA DE SGSST. (Número: GGTH-152)</t>
  </si>
  <si>
    <t>PRESTAR SERVICIOS PROFESIONALES PARA APOYAR LA IMPLEMENTACIÓN DE SERVICIOS DE INFORMACIÓN EN UNA ARQUITECTURA ORIENTADA SERVICIOS DE LA SUBSIDIO FAMILIAR. (Número: OTIC-230).</t>
  </si>
  <si>
    <t>PRESTAR LOS SERVICIOS PROFESIONALES PARA EL ACOMPAMIENTO EN LA DEFINICIÓN Y ESTRUCTURACIÓN DE PROCEDIMIENTOS INTERNOS QUE OPTIMICEN EL EJERCICIO DE IVC POR PARTE DE LA SUPERINTENDENCIA DELEGADA PARA LA GESTIÓN, EN LA IMPLEMENTACIÓN DEL MODELO DE PLANEACIÓN Y GESTIÓN DEL MARCO DE LA ARQUITECTURA EMPRESARIAL. (ID: SDG-305).</t>
  </si>
  <si>
    <t>PRESTAR SERVICIOS PROFESIONALES COMO DESARROLLOR PARA APOYAR EL DESARROLLO DE SOFTWARE Y SOPORTE A LA INTEROPERABILIDAD E INTEGRACIÓN ENTRE SISTEMAS DE INFORMACIÓN DE LA SUPERINTENDENCIA DEL SUBSIDIO FAMILIAR. (Número: OTIC-185)</t>
  </si>
  <si>
    <t>PRESTAR SERVICIOS PROFESIONALES PARA APOYAR LA PRODUCCIÓN Y DISEÑO DEL MATERIAL GRÁFICO, DIGITAL Y LA EMISIÓN DE MENSAJES AUDIOVISUALES DE LA SUPERINTENDENCIA DEL SUBSIDIO FAMILIAR. (Número: COM-140)</t>
  </si>
  <si>
    <t>PRESTAR SERVICIOS PROFESIONALES PARA APOYAR LA DIVULGACIÓN DE LA INFORMACIÓN DE LAS DIFERENTES ÁREAS DE LA SUPERINTENDENCIA EN LO RELACIONADO CON COMUNICACIÓN INTERNA. (ID: COM-150)</t>
  </si>
  <si>
    <t>PRESTAR SERVICIOS PROFESIONALES BRINDANDO APOYO A LAS ACTIVIDADES DE FUNCIONAMIENTO QUE SE REALIZAN DENTRO DE LOS PROCESOS A CARGO DEL GRUPO DE GESTIÓN ADMINISTRATIVA DE LA SECRETARÍA GENERAL. (NÚMERO: GGA-019).</t>
  </si>
  <si>
    <t>PRESTAR SERVICIOS PROFESIONALES PARA ACOMPAÑAR LA ARTICULACIÓN DE LOS PLANES Y PROGRAMAS EN EL MARCO DE MIPG A CARGO DEL GRUPO DE GESTION ADMINISTRATIVA DE LA SUPERINTENDENCIA DEL SUBSIDIO FAMILIAR. (ID: GGA-014).</t>
  </si>
  <si>
    <t>PRESTAR SERVICIOS PROFESIONALES PARA APOYAR LAS ACTIVIDADES DE COMUNICACIÓN DE LA SUPERINTENDENCIA DEL SUBSIDIO FAMILIAR (ID: COM-151)</t>
  </si>
  <si>
    <t>PRESTAR SERVICIOS PROFESIONALES PARA APOYAR LA PUBLICACIÓN EN MEDIOS DIGITALES Y REDES SOCIALES DE LA INFORMACIÓN INSTITUCIONAL DISEÑADA EN LA SUPERINTENDENCIA DEL SUBSIDIO FAMILIAR. (Número: COM-149)</t>
  </si>
  <si>
    <t>PRESTAR SERVICIOS PROFESIONALES AL GRUPO DE GESTIÓN DEL TALENTO HUMANO PARA APOYAR LA EJECUCIÓN DEL PROGRAMA DE BIENESTAR E INCENTIVOS Y CLIMA Y CULTURA ORGANIZACIONAL DE LA SSF. (ID: GGTH-166).</t>
  </si>
  <si>
    <t>PRESTAR LOS SERVICIOS PROFESIONALES PARA APOYAR EL DESARROLLO DE LA ACTIVIDAD DEL PROYECTO DE INVERSIÓN DE IVC A CARGO DE LA OFICINA ASESORA JURÍDICA, ASÍ COMO CON LA EJECUCIÓN DE LAS ACTIVIDADES JURÍDICAS PROPIAS DEL ÁREA. (ID: OAJ-136)</t>
  </si>
  <si>
    <t>PRESTAR SERVICIOS DE CONECTIVIDAD TERRESTRE PARA LA SUPERINTENDENCIA DEL SUBSIDIO FAMILIAR (ID: OTIC – 224)</t>
  </si>
  <si>
    <t>PRESTAR SERVICIOS PROFESIONALES PARA APOYAR EL DISEÑO E IMPLEMENTACIÓN DE LA ESTRATEGIA DE COMUNICACIONES DE LA SUPERINTENDENCIA DEL SUBSIDIO FAMILIAR. (Número: COM-141).</t>
  </si>
  <si>
    <t>PRESTAR SERVICIOS PROFESIONALES PARA APOYAR LA PRODUCCIÓN DE INFORMACIÓN DE LAS ÁREAS DE LA SUPERINTENDENCIA DEL SUBSIDIO FAMILIAR. (ID: COM-143)</t>
  </si>
  <si>
    <t>PRESTAR SERVICIOS PROFESIONALES PARA APOYAR LA COMUNICACIÓN, INFORMACIÓN Y NOTICIAS DE LA SUPERINTENDENCIA DEL SUBSIDIO FAMILIAR. (Número: COM-146)</t>
  </si>
  <si>
    <t>PRESTAR SERVICIOS PROFESIONALES PARA APOYAR JURÍDICAMENTE AL GRUPO DE GESTIÓN DE TALENTO HUMANO EN LA ELABORACIÓN DE ACTOS ADMINISTRATIVOS Y REVISIÓN DE DOCUMENTACIÓN PRECONTRACTUAL. (ID: GGTH-159)</t>
  </si>
  <si>
    <t>PRESTAR SERVICIOS PROFESIONALES EN LAS ACTIVIDADES DE LA DELEGADA DE ESTUDIOS ESPECIALES Y EVALUACIÓN DE PROYECTOS EN EL ESTUDIO DE PROYECCIÓN - DEMOGRÁFICO. (ID: SDEEEP-307)</t>
  </si>
  <si>
    <t>PRESTAR SERVICIOS PROFESIONALES AL DESPACHO DE LA SUPERINTENDENCIA DEL SUBSIDIO FAMILIAR APOYANDO LAS ACTIVIDADES ADMINISTRATIVAS DE COMPETENCIA DEL SUPERINTENDENTE. (ID: DES-044)</t>
  </si>
  <si>
    <t>PRESTAR SERVICIOS PROFESIONALES PARA APOYAR LA PUBLICACIÓN DE LA INFORMACIÓN INSTITUCIONAL EN LA SEDE ELECTRÓNICA PARA LA SUPERINTENDENCIA DEL SUBSIDIO FAMILIAR. (Número: COM-142)</t>
  </si>
  <si>
    <t>PRESTAR SERVICIOS PROFESIONALES A LA SUPERINTENDENCIA DELEGADA PARA ESTUDIOS ESPECIALES Y LA EVALUACIÓN DE PROYECTOS EN EL SEGUIMIENTO Y VERIFICACIÓN DE LOS PROCESOS DE PLANEACIÓN Y GESTIÓN DE LOS PLANES, PROGRAMAS Y PROYECTOS DE INVERSIÓN PARA OBRAS O SERVICIOS SOCIALES QUE DESARROLLEN LAS CAJAS DE COMPENSACIÓN FAMILIAR. (ID: SDEEEP-238)</t>
  </si>
  <si>
    <t>(ID: OPU-117) PRESTAR SERVICIOS PROFESIONALES PARA APOYAR LA ELABORACIÓN, GESTIÓN Y DIVULGACIÓN DE CONTENIDO DIRIGIDO A LOS GRUPOS DE VALOR Y DE INTERÉS DE LA SUPERINTENDENCIA DEL SUBSIDIO FAMILIAR ENCAMINADO A FORTALECER EL RELACIONAMIENTO CON LA CIUDADANÍA.</t>
  </si>
  <si>
    <t>PRESTAR SERVICIOS PROFESIONALES COMO DESARROLLO DE SOFTWARE PARA EL APOYO A LA INTEGRACIÓN DE LOS SISTEMAS DE INFORMACIÓN DE LA SUPERINTENDENCIA DEL SUBSIDIO FAMILIAR. (ID: OTIC-176)</t>
  </si>
  <si>
    <t>CONTRATAR LA PRESTACION DE SERVICIOS PROFESIONALES PARA APOYAR AL AREA EN LOS PROCESOS DE GESTION DOCUMENTAL Y REALIZAR EL SEGUIMIENTO DEL PLAN INSTITUCIONAL DE ARCHIVOS. (Número: GGD-023)</t>
  </si>
  <si>
    <t>PRESTAR SERVICIOS PROFESIONALES PARA APOYAR EL COMPONENTE AUDIOVISUAL DE LAS ACTIVIDADES INSTITUCIONALES DE LA SUPERINTENDENCIA DEL SUBSIDIO FAMILIAR. (ID: COM-144)</t>
  </si>
  <si>
    <t>PRESTAR SERVICIOS PROFESIONALES PARA BRINDAR APOYO A LAS ACTIVIDADES DE PLANEACIÓN ESTRATÉGICA DE LA ARQUITECTURA, FORMULACIÓN DEL PETI Y LA ESTRUCTURACIÓN Y DESARROLLO DE LOS EJERCICIOS DE ARQUITECTURA EMPRESARIAL DE LA SUBSIDIO FAMILIAR (ID: OTIC-229).</t>
  </si>
  <si>
    <t>PRESTAR SERVICIOS PROFESIONALES EN LA OFICINA ASESORA DE PLANEACIÓN, APOYANDO LA IMPLEMENTACIÓN Y FORMULACIÓN DE POLÍTICAS RELACIONADAS CON LA TRANSVERSALIZACIÓN INTEGRAL DEL ENFOQUE DE GÉNERO DE LA SUPERINTENDENCIA DEL SUBSIDIO FAMILIAR. ID: OAP-314</t>
  </si>
  <si>
    <t>PRESTAR LOS SERVICIOS PROFESIONALES PARA APOYAR EL COMPONENTE DE GESTIÓN DE SISTEMAS DE INFORMACIÓN DE LA OFICINA DE CONTROL INTERNO DE LA SUPERINTENDENCIA DEL SUBSIDIO FAMILIAR, EN LA EJECUCIÓN DEL PLAN ANUAL DE AUDITORÍAS Y LA ELABORACIÓN Y SEGUIMIENTO DE INFORMES APROBADOS POR EL COMITÉ INSTITUCIONAL DE COORDINACIÓN DE CONTROL INTERNO. (Número: OCI-101).</t>
  </si>
  <si>
    <t>PRESTAR LOS SERVICIOS PROFESIONALES PARA APOYAR EL COMPONENTE CONTABLE Y FINANCIERO DE LA OFICINA DE CONTROL INTERNO DE LA SUPERINTENDENCIA DEL SUBSIDIO FAMILIAR, EN LA EJECUCIÓN DEL PLAN ANUAL DE AUDITORIAS Y LA ELABORACIÓN Y SEGUIMIENTO DE INFORMES APROBADOS POR EL COMITE INSTITUCIONAL DE COORDINACIÓN DE CONTROL INTERNO. (Número: OCI-100).</t>
  </si>
  <si>
    <t>267-2024</t>
  </si>
  <si>
    <t>COMUNICACION CELULAR S A COMCEL S A</t>
  </si>
  <si>
    <t>prestar servicios de nube privada de infraestructura. (id: otic-702)</t>
  </si>
  <si>
    <t>237-2024</t>
  </si>
  <si>
    <t>PRESTAR SERVICIOS DE CONECTIVIDAD TERRESTRE. (NÚMERO: OTIC-703).</t>
  </si>
  <si>
    <t>PRESTAR SERVICIOS PROFESIONALES JURÍDICOS PARA BRINDAR ACOMPAÑAMIENTO EN LOS TRÁMITES PRECONTRACTUALES, CONTRACTUALES, POSTCONTRACTUALES Y DE TIENDA VIRTUAL EN EL GRUPO DE GESTIÓN CONTRACTUAL DE LA SSF. (Número: GGC-320).</t>
  </si>
  <si>
    <t>131-2025</t>
  </si>
  <si>
    <t>432-2022</t>
  </si>
  <si>
    <t>El presente contrato tuvo una terminación anticipada el 28 de mayo de 2025</t>
  </si>
  <si>
    <t>CAJA DE COMPENSACION FAMILIAR CAFAM</t>
  </si>
  <si>
    <t>PRESTAR SERVICIOS DE APOYO A LA GESTIÓN PARA EL DESARROLLO DEL PROGRAMA DE BIENESTAR E INCENTIVOS, EN EL MARCO DE MIPG-CLIMA ORGANIZACIONAL Y LAS ACTIVIDADES CONTEMPLADAS EN EL PLAN DEL SISTEMA DE GESTIÓN SEGURIDAD Y SALUD EN EL TRABAJO SG-SST, PARA LOS SERVIDORES DE LA SUPERINTEDENCIA DEL SUBSIDIO FAMILIAR. (ID: GGTH-170)</t>
  </si>
  <si>
    <t>116-2025</t>
  </si>
  <si>
    <t>120-2025</t>
  </si>
  <si>
    <t>121-2025</t>
  </si>
  <si>
    <t>122-2025</t>
  </si>
  <si>
    <t>123-2025</t>
  </si>
  <si>
    <t>124-2025</t>
  </si>
  <si>
    <t>125-2025</t>
  </si>
  <si>
    <t>126-2025</t>
  </si>
  <si>
    <t>127-2025</t>
  </si>
  <si>
    <t>128-2025</t>
  </si>
  <si>
    <t>129-2025</t>
  </si>
  <si>
    <t>130-2025</t>
  </si>
  <si>
    <t>132-2025</t>
  </si>
  <si>
    <t>133-2025</t>
  </si>
  <si>
    <t>134-2025</t>
  </si>
  <si>
    <t>135-2025</t>
  </si>
  <si>
    <t>136-2025</t>
  </si>
  <si>
    <t>137-2025</t>
  </si>
  <si>
    <t>138-2025</t>
  </si>
  <si>
    <t>139-2025</t>
  </si>
  <si>
    <t>140-2025</t>
  </si>
  <si>
    <t>141-2025</t>
  </si>
  <si>
    <t>142-2025</t>
  </si>
  <si>
    <t>143-2025</t>
  </si>
  <si>
    <t>144-2025</t>
  </si>
  <si>
    <t>145-2025</t>
  </si>
  <si>
    <t>146-2025</t>
  </si>
  <si>
    <t>147-2025</t>
  </si>
  <si>
    <t>148-2025</t>
  </si>
  <si>
    <t>149-2025</t>
  </si>
  <si>
    <t>150-2025</t>
  </si>
  <si>
    <t>151-2025</t>
  </si>
  <si>
    <t>152-2025</t>
  </si>
  <si>
    <t>153-2025</t>
  </si>
  <si>
    <t>154-2025</t>
  </si>
  <si>
    <t>155-2025</t>
  </si>
  <si>
    <t>156-2025</t>
  </si>
  <si>
    <t>157-2025</t>
  </si>
  <si>
    <t>158-2025</t>
  </si>
  <si>
    <t>159-2025</t>
  </si>
  <si>
    <t>160-2025</t>
  </si>
  <si>
    <t>161-2025</t>
  </si>
  <si>
    <t>162-2025</t>
  </si>
  <si>
    <t>163-2025</t>
  </si>
  <si>
    <t>164-2025</t>
  </si>
  <si>
    <t>165-2025</t>
  </si>
  <si>
    <t>166-2025</t>
  </si>
  <si>
    <t>167-2025</t>
  </si>
  <si>
    <t>168-2025</t>
  </si>
  <si>
    <t>169-2025</t>
  </si>
  <si>
    <t>170-2025</t>
  </si>
  <si>
    <t>171-2025</t>
  </si>
  <si>
    <t>172-2025</t>
  </si>
  <si>
    <t>173-2025</t>
  </si>
  <si>
    <t>174-2025</t>
  </si>
  <si>
    <t>175-2025</t>
  </si>
  <si>
    <t>176-2025</t>
  </si>
  <si>
    <t>177-2025</t>
  </si>
  <si>
    <t>178-2025</t>
  </si>
  <si>
    <t>179-2025</t>
  </si>
  <si>
    <t>180-2025</t>
  </si>
  <si>
    <t>181-2025</t>
  </si>
  <si>
    <t>182-2025</t>
  </si>
  <si>
    <t>183-2025</t>
  </si>
  <si>
    <t>184-2025</t>
  </si>
  <si>
    <t>185-2025</t>
  </si>
  <si>
    <t>186-2025</t>
  </si>
  <si>
    <t>187-2025</t>
  </si>
  <si>
    <t>188-2025</t>
  </si>
  <si>
    <t>189-2025</t>
  </si>
  <si>
    <t>ANGIE JULIETH AVELLANEDA ORIGUA</t>
  </si>
  <si>
    <t>ZULEINA MARIA OLIVELLA GOMEZ</t>
  </si>
  <si>
    <t>KAREN PAOLA GUTIERREZ ROCA</t>
  </si>
  <si>
    <t>WILLIAM ALEXIS ARENAS RIVERA</t>
  </si>
  <si>
    <t>JONATAN RIVERA VANEGAS</t>
  </si>
  <si>
    <t>MARBY LORENA FIGUEROA RUBIO</t>
  </si>
  <si>
    <t>MARTHA PATRICIA VARGAS MORENO</t>
  </si>
  <si>
    <t>JULITZA FLÓREZ IBARRA</t>
  </si>
  <si>
    <t>ANGÉLICA MARIA MADERO</t>
  </si>
  <si>
    <t>EMILCE CANO GÓMEZ</t>
  </si>
  <si>
    <t>KAREN YULIANA SALAZAR CAJAS</t>
  </si>
  <si>
    <t>(ID:DES-043) PRESTAR SERVICIOS PROFESIONALES ESPECIALIZADOS PARA EL ACOMPAÑAMIENTO JURIDICO EN LO QUE COMPETE A LAS FUNCIONES PROPIAS DEL DESPACHO DEL SUPERINTENDENTE DEL SUBSIDIO FAMILIAR.</t>
  </si>
  <si>
    <t>PRESTAR SERVICIOS PROFESIONALES PARA APOYAR EL TRÁMITE A LAS PETICIONES, QUEJAS, RECLAMOS, SUGERENCIAS Y FELICITACIONES INTERPUESTAS POR LOS GRUPOS DE INTERÉS Y DE VALOR DE LA SUPERINTENDENCIA DEL SUBSIDIO FAMILIAR CONFORME LA NORMATIVIDAD VIGENTE CON PARÁMETROS DE OPORTUNIDAD, EFECTIVIDAD Y CALIDAD.(ID: OPU-108)</t>
  </si>
  <si>
    <t>(ID: GGC-318) PRESTAR SERVICIOS PROFESIONALES PARA APOYAR EN EL GRUPO DE GESTIÓN CONTRACTUAL EN LOS ANÁLISIS DEL SECTOR Y DEL MERCADO ADEMÁS DE LAS EVALUACIONES REQUERIDAS DENTRO DE LOS PROCESOS CONTRACTUALES DE FORMA TRANSVERSAL EN LA SUPERINTENDENCIA DEL SUBSIDIO FAMILIAR.</t>
  </si>
  <si>
    <t>PRESTAR LOS SERVICIOS PROFESIONALES PARA APOYAR LA ACTUALIZACIÓN DE PROCESOS Y PROCEDIMIENTOS CORRESPONDIENTES AL GRUPO DE GESTIÓN DOCUMENTAL Y NOTIFICACIONES DE LA SUPERINTENDENCIA DE SUBSIDIO FAMILIAR. (Número: GGD-025)</t>
  </si>
  <si>
    <t>PRESTAR SERVICIOS PROFESIONALES PARA REALIZAR ACTIVIDADES RELACIONADAS CON LA SUSTANCIACIÓN Y DEMÁS ACTUACIONES ADMINISTRATIVAS Y/O JURÍDICAS QUE SE REQUIERAN EN EL MARCO DEL PROCESO DE CONTROL LEGAL Y VIGILANCIA A CAJAS DE COMPENSACIÓN FAMILIAR, EN EL MARCO DEL PROYECTO "MODERNIZACIÓN DE LA INSPECCIÓN, VIGILANCIA Y CONTROL DE LA SUPERINTENDENCIA DEL SUBSIDIO FAMILIAR (ID: SDRAME-059)</t>
  </si>
  <si>
    <t>(ID: GGC-323) PRESTAR SERVICIOS PROFESIONALES ESPECIALIZADOS EN MATERIA JURÍDICA AL GRUPO DE GESTIÓN CONTRACTUAL DE LA SUPERINTENDENCIA DEL SUBSIDIO FAMILIAR EN LA PROYECCIÓN DE DOCUMENTOS PREVIOS, ALISTAMIENTO DOCUMENTAL, PUBLICACIÓN DE LOS PROCESOS CONTRACTUALES EN LAS ETAPAS PRECONTRACTUAL, CONTRACTUAL Y POSTCONTRACTUAL.</t>
  </si>
  <si>
    <t>PRESTAR SERVICIOS PROFESIONALES PARA APOYAR LA GESTIÓN, LA ELABORACION Y APLICACIÓN DE LOS INSTRUMENTOS ARCHIVISTICOS. (ID: GGD-028)</t>
  </si>
  <si>
    <t>PRESTAR SERVICIOS PROFESIONALES A LA SDEEEP PARA REALIZAR EL SEGUIMIENTO Y CONTROL TÉCNICO A LOS PLANES, PROGRAMAS Y PROYECTOS DE INVERSIÓN PARA OBRAS O SERVICIOS PRESENTADOS SOCIALES A TRAVÉS DEL BANCO DE PROYECTOS DE INVERSIÓN DEL SUBSIDIO FAMILIAR. (ID: SDEEEP-242)</t>
  </si>
  <si>
    <t>PRESTAR SERVICIOS DE APOYO A LA GESTIÓN PARA BRINDAR INFORMACIÓN DEL SISTEMA DEL SUBSIDIO FAMILIAR A LOS GRUPO DE INTERÉS Y VALOR DE LA SUPERINTENDENCIA DE SUBSIDIO FAMILIAR A TRAVÉS DE LOS CANALES DISPUESTOS POR LA ENTIDAD. (Número: OPU - 104)</t>
  </si>
  <si>
    <t>PRESTAR LOS SERVICIOS PROFESIONALES ESPECIALIZADOS PARA APOYAR AL GGF, DE MANERA TRANSVERSAL E INTEGRAL BRINDANDO ACOMPAÑAMIENTO CON EL SOPORTE Y ORIENTACIÓN A TODOS LOS PROCESOS DONDE SE REQUIERA. (Número: GGF-129-1)</t>
  </si>
  <si>
    <t>GGC.ID GGC-324. PRESTAR SERVICIOS PROFESIONALES JURÍDICOS EN EL GRUPO DE GESTIÓN CONTRACTUAL DE LA SUPERINTENDENCIA DE SUBSIDIO FAMILIAR, BRINDANDO APOYO ADMINISTRATIVO EN PROCESOS DE BIENES Y SERVICIOS; APOYO INTEGRAL DESDE LA PLANEACIÓN, PROYECCIÓN DE DOCUMENTOS PREVIOS, ALISTAMIENTO DOCUMENTAL, PUBLICACIÓN DE LOS PROCESOS CONTRACTUALES BAJO MODALIDAD DE CONTRATACIÓN DIRECTA, QUE REQUIERA LA ENTIDAD EN LAS ETAPAS PRECONTRACTUAL, CONTRACTUAL Y POSTCONTRACTUAL.</t>
  </si>
  <si>
    <t>ISOLUCIÓN</t>
  </si>
  <si>
    <t>MARGARITA ROSA SIERRA ACOSTA</t>
  </si>
  <si>
    <t>JUSTINE KELLYS</t>
  </si>
  <si>
    <t>CLARA ISABEL ESPINOSA GONZALEZ</t>
  </si>
  <si>
    <t>CLAUDIA CAROLINA CASTRO RUBIO</t>
  </si>
  <si>
    <t>OSCAR JULIO CASTRILLON GARCIA</t>
  </si>
  <si>
    <t>MEGASOFT S.A.S.</t>
  </si>
  <si>
    <t>PAOLA ANDREA TAMAYO HABIB</t>
  </si>
  <si>
    <t>ANTONIO CARLOS MARTINEZ ARRAZOLA</t>
  </si>
  <si>
    <t>JHON KELIS ATENCIO ARIÑO</t>
  </si>
  <si>
    <t>OHN SEBASTIAN ALEMAN PEÑA</t>
  </si>
  <si>
    <t>WILLIAM JAVIER CELY RICO</t>
  </si>
  <si>
    <t>JULIO CESAR MORENO BERNAL</t>
  </si>
  <si>
    <t>RIGOBERTO DANIEL GONZALEZ RUEDA</t>
  </si>
  <si>
    <t>DANIEL RAMIRO MORENO LESMES</t>
  </si>
  <si>
    <t>MALYORIS LOPEZ RAMOS</t>
  </si>
  <si>
    <t>GUSTAVO ADOLFO PEREZ VESGA</t>
  </si>
  <si>
    <t>IVONNE ARELIS DIAZ RODRIGUEZ</t>
  </si>
  <si>
    <t>NURY NAVARRO HERNANDEZ</t>
  </si>
  <si>
    <t>Comunicación Celular S.A Comcel</t>
  </si>
  <si>
    <t>JULIO CESAR OSORIO MENDOZA</t>
  </si>
  <si>
    <t>PAOLA ALEXANDRA IBARRA</t>
  </si>
  <si>
    <t>KEIDER DANIEL RUIZ TORRES</t>
  </si>
  <si>
    <t>NELSON MIGUEL AMAYA PINTO</t>
  </si>
  <si>
    <t>ARIA PSW S.A.S.</t>
  </si>
  <si>
    <t>CAROLINA REYES GIRALDO</t>
  </si>
  <si>
    <t>UNIÓN TEMPORAL EASYCLEAN ASEO PROFESIONAL</t>
  </si>
  <si>
    <t>NEFOX SAS</t>
  </si>
  <si>
    <t>VALENTINA ARIZA CRUZ</t>
  </si>
  <si>
    <t>AUTO INVERSIONES COLOMBIA SA</t>
  </si>
  <si>
    <t>BLANCA LUCÍA SÁNCHEZ TORRES</t>
  </si>
  <si>
    <t>JOSE ELIAS BONILLA YUNDA</t>
  </si>
  <si>
    <t>MANUEL ENRIQUE RODRIGUEZ PEREZ</t>
  </si>
  <si>
    <t>JHONATAN PORTILLA PORTILLA</t>
  </si>
  <si>
    <t>JULIÁN BERNARDO SALINAS DIAZ</t>
  </si>
  <si>
    <t>DANY STEVEN RAMÍREZ LÓPEZ</t>
  </si>
  <si>
    <t>SANDRA MIREYA HINCAPIÉ JIMÉNEZ</t>
  </si>
  <si>
    <t>SERGIO FELIPE SALAMANCA BORRERO</t>
  </si>
  <si>
    <t>GUILLERMO JOSÉ LUIZ AZAR BUILES</t>
  </si>
  <si>
    <t>ÁNGELA MARÍA ORTIZ VILLALBA</t>
  </si>
  <si>
    <t>MARÍA FERNANDA VARGAS PATIÑO</t>
  </si>
  <si>
    <t>CRISTIAN YANARDY RUIZ LEÓN</t>
  </si>
  <si>
    <t>LAURA ALEJANDRA DUQUE HERNÁNDEZ</t>
  </si>
  <si>
    <t>CRISTIAN FRANCISCO SERRATO DEL RIO</t>
  </si>
  <si>
    <t>JOSÉ DE FALCO AVILA MARTÍNEZ</t>
  </si>
  <si>
    <t>JULIANA ASTORQUIZA ANDRADE</t>
  </si>
  <si>
    <t>ALBERT FERNEY GIRALDO VARON</t>
  </si>
  <si>
    <t>GIOVANNY RINCON QUINTERO</t>
  </si>
  <si>
    <t>MARIA FERNANDA NAVARRO ROSAS</t>
  </si>
  <si>
    <t>CESAR HERRERA DIAZ</t>
  </si>
  <si>
    <t>CAMILO ESTEBAN GOMEZ URREA</t>
  </si>
  <si>
    <t>INGRY YULIED PEREA BORRERO</t>
  </si>
  <si>
    <t>EVELIN VANESSA MONTES TAMARA</t>
  </si>
  <si>
    <t>-</t>
  </si>
  <si>
    <t>CONTRATAR LA RENOVACIÓN, ACTUALIZACIÓN, SOPORTE, MANTENIMIENTO Y CAPACITACIÓN DEL APLICATIVO DOCUMENTAL ISOLUCION EN LA SUPERINTENDENCIA DEL SUBSIDIO FAMILIAR (ID: OAP-098)</t>
  </si>
  <si>
    <t>(ID: SDEEEP-262) PRESTAR SERVICIOS PROFESIONALES A LA SDEEEP COMO FACILITADOR PARA FOMENTO DE LA COLABORACIÓN Y LA CREATIVIDAD EN LA RED NOVABOX DEL LABORATORIO DE INNOVACIÓN DEL SUBSIDIO FAMILIAR.</t>
  </si>
  <si>
    <t>PRESTAR SERVICIOS DE APOYO A LA GESTIÓN EN EL GRUPO DE GESTIÓN CONTRACTUAL DE LA SUPERINTENDENCIA DEL SUBSIDIO FAMILIAR, REALIZANDO ACOMPAÑAMIENTO EN EL INICIO DE EJECUCIÓN Y SEGUIMIENTO DE LOS PROCESOS CONTRACTUALES, ASÍ COMO LA PROYECCIÓN Y SEGUIMIENTO A LOS INFORMES REQUIERAN LAS SOLICITUDES INTERNAS O EXTERNAS INCLUIDOS LOS ENTES DE CONTROL, Y DEMÁS TRÁMITES NECESARIOS PARA LA DEBIDA GESTIÓN. (ID: GGC-325)</t>
  </si>
  <si>
    <t>PRESTAR SERVICIOS PROFESIONALES PARA APOYAR EL CONTROL Y SEGUIMIENTO AL PRESUPUESTO DE PROYECTOS, SEGUIMIENTO DE INVERSIONES, SEGUIMIENTO DE RECURSOS, GESTIÓN DEL PRESUPUESTO Y/ O GESTIÓN DE INVERSIONES DE PROYECTOS DE INFRAESTRUCTURA SOCIAL PRESENTADOS POR LAS CAJA DE COMPENSACIÓN FAMILIAR A LA SUPERINTENDENCIA DELEGADA PARA ESTUDIOS ESPECIALES Y LA EVALUACION DE PROYECTOS</t>
  </si>
  <si>
    <t>PRESTAR LOS SERVICIOS PROFESIONALES BRINDANDO APOYO EN TEMAS RELACIONADOS CON LOS TRÁMITES INTERNOS DEL GGF, DESARROLLANDO OPERACIONES CONTABLES, PRESUPUESTALES Y DE PAGADURIA, ACOGIENDOSE A LOS PROCEDIMIENTOS Y OBJETIVOS INSTITUCIONALES DE LA SSF. (ID: GGF-130-1)</t>
  </si>
  <si>
    <t>(ID: SDRAME-056) PRESTAR SERVICIOS PROFESIONALES PARA EL ANÁLISIS JURÍDICO, REVISIÓN Y SUSTANCIACIÓN DE TRÁMITES Y ASUNTOS PROPIOS DE LA DELEGADA PARA LA RESPONSABILIDAD ADMINISTRATIVA Y LAS MEDIDAS ESPECIALES, EN EL MARCO DEL PROYECTO DE INVERSIÓN "MODERNIZACIÓN DE LA INSPECCIÓN, VIGILANCIA Y CONTROL DE LA SUPERINTENDENCIA DEL SUBSIDIO FAMILIAR.</t>
  </si>
  <si>
    <t>PRESTAR SERVICIOS PROFESIONALES COMO DESARROLLADOR PARA EL PROCESO DE AUTOMATIZACIONES DE LA PLATAFORMA DE GESTIÓN INSTITUCIONAL DE LA SUPERINTENDENCIA DEL SUBSIDIO FAMILIAR. ID:OTIC-220</t>
  </si>
  <si>
    <t>RENOVACION DEL SOPORTE, MANTENIMIENTO Y ACTUALIZACIÓN DEL LICENCIAMIENTO DEL SOFTWARE NEON - APLICATIVO DE ALMACÉN E INVENTARIO. (ID: GGA-007)</t>
  </si>
  <si>
    <t>PRESTAR SERVICIOS PROFESIONALES PARA APOYAR LA VERIFICACIÓN DEL CUMPLIMIENTO DE LAS DISPOSICIONES DEL SISTEMA DEL SUBSIDIO FAMILIAR EN LA INFRAESTRUCTURA DESTINADA A LA PRESTACIÓN DE LOS SERVICIOS SOCIALES DE LAS CAJAS DE COMPENSACIÓN FAMILIAR. (ID: SDG-284)</t>
  </si>
  <si>
    <t>PRESTAR LOS SERVICIOS PROFESIONALES PARA APOYAR EL ANALISIS DEL SISTEMA DE GESTIÓN DE RIESGO DE ALERTAS TEMPRANAS, EN EL MARCO DE IVC EJERCIDA DESDE LA SUPERINTENDENCIA DELEGADA PARA LA GESTIÓN A LOS ENTES VIGILADOS. (ID: SDG-290)</t>
  </si>
  <si>
    <t>PRESTAR SERVICIOS PROFESIONALES A LA SDEEEP PARA APOYO Y SEGUIMIENTO DE LOS PLANES, PROGRAMAS Y PROYECTOS DE INVERSIÓN PARA OBRAS O SERVICIOS.</t>
  </si>
  <si>
    <t>PRESTAR SEVICIOS PROFESIONALES ESPECIALIZADOS PARA APOYAR, ORIENTAR, REALIZAR INTEGRALMENTE LA GESTIÓN FINANCIERA, PRESUPUESTAL Y CONTABLE, ASÍ COMO REALIZAR LAS RESPUESTAS E INFORMES INTERNOS Y EXTERNOS QUE REQUIERA EL GGF. (ID: GGF-315)</t>
  </si>
  <si>
    <t>PRESTAR SERVICIOS PROFESIONALES PARA ADELANTAR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SDRAME-068)</t>
  </si>
  <si>
    <t>PRESTAR SERVICIOS PROFESIONALES PARA APOYAR LA EVALUACIÓN FINANCIERA Y CONTABLE DEL IMPACTO DE LA EJECUCIÓN DE LOS FONDOS DE LEY ADMINISTRADOS POR LAS CAJAS DE COMPENSACIÓN FAMILIAR. (ID: SDG-275).</t>
  </si>
  <si>
    <t>PRESTAR LOS SERVICIOS PROFESIONALES PARA APOYAR EL COMPONENTE FINANCIERO Y CONTABLE SOBRE LA GESTIÓN DE LAS CAJAS DE COMPENSACIÓN FAMILIAR, CONFORME A LA MODERNIZACIÓN DE IVC DE LA SUPERINTENDENCIA DEL SUBSIDIO FAMILIAR AL INTERIOR DE LA SUPERINTENDENCIA DELEGADA PARA LA GESTIÓN. (ID: SDG-292).</t>
  </si>
  <si>
    <t>PRESTAR SERVICIOS PROFESIONALES COMO DESARROLLADOR FRONT END CON EL FIN DE REALIZAR LA OPTIMIZACIÓN DE LA COMUNICACIÓN VISUAL, EXPERIENCIA DE USUARIO E INTERFAZ GRAFICA DE LA SEDE ELECTRÓNICA E INTRANET DE LA ENTIDAD. (ID: OTIC-326)</t>
  </si>
  <si>
    <t>PRESTAR SERVICIOS PROFESIONALES COMO APOYO PARA LA IMPLEMENTACIÓN DEL MODELO INTEGRADO DE PLANEACIÓN Y GESTIÓN [MIPG] EN LA OFICINA DE PROTECCIÓN AL USUARIO. (ID: OPU-128)</t>
  </si>
  <si>
    <t>PRESTAR SERVICIOS PROFESIONALES A LA SDEEEP PARA APOYAR EL DESARROLLO DE INSTRUMENTOS METODOLÓGICOS QUE CONTRIBUYAN CON EL SEGUIMIENTO Y CONTROL TÉCNICO A LOS PLANES, PROGRAMAS Y PROYECTOS DE INVERSIÓN PARA OBRAS O SERVICIOS SOCIALES PRESENTADOS A TRAVÉS DEL BANCO DE PROYECTOS DE INVERSIÓN DEL SUBSIDIO FAMILIAR. (ID: SDEEEP-251)</t>
  </si>
  <si>
    <t>PRESTAR SERVICIOS PROFESIONALES A LA SDEEEP PARA REALIZAR SEGUIMIENTO Y CONTROL A LOS PLANES, PROGRAMAS Y PROYECTOS DE INVERSIÓN PARA OBRAS O SERVICIOS SOCIALES PRESENTADOS A TRAVÉS DEL BANCO DE PROYECTOS DE INVERSIÓN DEL SUBSIDIO FAMILIAR. ID-241.</t>
  </si>
  <si>
    <t>PRESTAR SERVICIOS PROFESIONALES A LA SDEEEP PARA APOYAR EL DESARROLLO DE INSTRUMENTOS METODOLÓGICOS QUE CONTRIBUYAN CON EL SEGUIMIENTO Y CONTROL TÉCNICO A LOS PLANES, PROGRAMAS Y PROYECTOS DE INVERSIÓN PARA OBRAS O SERVICIOS SOCIALES PRESENTADOS A TRAVÉS DEL BANCO DE PROYECTOS DE INVERSIÓN DEL SUBSIDIO FAMILIAR. (ID: SDEEEP-249).</t>
  </si>
  <si>
    <t>PRESTAR SERVICIOS PROFESIONALES AL GRUPO DE GESTION DE TALENTO HUMANO CON EL FIN DE HACER ACOMPAÑAMIENTO EN EL SEGUIMIENTO A LA POLITICA DE GESTION DEL CONOCIMIENTO [MIPG] DE LA SSF.(ID: GGTH-162)</t>
  </si>
  <si>
    <t>PRESTAR SERVICIOS DE NUBE PRIVADA DE LA INFRAESTRUCTURA TECNOLÓGICA (ID: OTIC – 222).</t>
  </si>
  <si>
    <t>PRESTAR SERVICIOS PROFESIONALES EN LAS ACTIVIDADES DE LA DELEGADA DE ESTUDIOS ESPECIALES Y EVALUACIÓN DE PROYECTOS EN EL ESTUDIO DE PROSPECTIVO - CREDITO SOCIAL PRESTADOS POR LAS CCF. (ID: SDEEEP-308)</t>
  </si>
  <si>
    <t>PRESTAR SERVICIOS PROFESIONALES A LA SDEEEP PARA BRINDAR APOYO A LOS COMPONENTES FINANCIEROS Y TÉCNICOS DE LAS ACCIONES, LINEAMIENTOS O ESTRATEGIAS DEL SISTEMA DEL SUBSIDIO FAMILIAR EN EL MARCO DEL FORTALECIMIENTO DEL BANCO DE PROYECTOS. (ID SDEEEP244)</t>
  </si>
  <si>
    <t>PRESTAR SERVICIOS PROFESIONALES EN LA SUPERINTENDENCIA DELEGADA PARA ESTUDIOS ESPECIALES Y EVALUACIÓN DE PROYECTOS EN LAS ACTIVIDADES RELACIONADAS CON LA PLANEACIÓN, SEGUIMIENTO, GESTIÓN ADMINISTRATIVA Y FINANCIERA DE PRESUPUESTOS DE PROYECTOS DE INFRAESTRUCTURA SOCIAL ID-243.</t>
  </si>
  <si>
    <t>PRESTAR LOS SERVICIOS PROFESIONALES PARA APOYAR LA EJECUCIÓN DE ACTIVIDADES JURIDICAS PROPIAS DE LA OFICINA ASESORA JURIDICA DE LA SUPERINTENDENCIA DEL SUBSIDIO FAMILIAR. (ID: OAJ-317)</t>
  </si>
  <si>
    <t>PRESTAR LOS SERVICIOS DE REGISTRO Y ACTUALIZACIÓN DEL VERSIONAMIENTO DEL LICENCIAMIENTO LIFERAY. (ID: OTIC-236)</t>
  </si>
  <si>
    <t>(ID: SDEEEP-263) PRESTAR SERVICIOS PROFESIONALES A LA SDEEEP PARA APOYAR LOS PROCESOS DEL LABORATORIO DE INNOVACIÓN DEL SUBSIDIO FAMILIAR QUE PERMITA LA PROMOCIÓN DE LA CULTURA Y FOMENTO A LA INNOVACIÓN.</t>
  </si>
  <si>
    <t>GGA- ID-001-PRESTAR EL SERVICIO INTEGRAL DE ASEO Y CAFETERÍA INCLUIDOS LOS SUMINISTROS REQUERIDOS EN LA SUPERINTENDENCIA DEL SUBSIDIO FAMILIAR</t>
  </si>
  <si>
    <t>PRESTAR EL SERVICIO DE ACCESO Y USO DE LA PLATAFORMA DE RASTREO Y MONITOREO INCLUIDO EL ALQUILER DE CINCO (5) DISPOSITIVOS GPS PARA LA FLOTA VEHICULAR DE PROPIEDAD DE LA SUPERINTENDENCIA DEL SUBSIDIO FAMILIAR. (ID: GGA-011)</t>
  </si>
  <si>
    <t>SUMINISTRAR LA DOTACIÓN PARA LOS FUNCIONARIOS DE LA SUPERINTENDENCIA DEL SUBSIDIO FAMILIAR QUE TIENEN DERECHO SEGÚN LO ESTABLECIDO EN LA LEY 70 DE 1988. (ID: GGTH-003)</t>
  </si>
  <si>
    <t>MANTENIMIENTO DE VEHICULOS PARA EL PARQUE AUTOMOTOR DE LA SUPERSUBSIDIO FAMILIAR - 2025</t>
  </si>
  <si>
    <t>PRESTACIÓN DE SERVICIOS PROFESIONALES PARA BRINDAR ACOMPAÑAMIENTO METODOLÓGICO EN LA FORMULACIÓN Y SEGUIMIENTO A LOS PROYECTOS DE INVERSIÓN DE LA SUPERINTENDENCIA DEL SUBSIDIO FAMILIAR. (ID: OAP-087-1)</t>
  </si>
  <si>
    <t>PRESTAR LOS SERVICIOS PROFESIONALES PARA APOYAR EL PROCESO DE CONSOLIDACIÓN Y REPORTE DE LA INFORMACIÓN REQUERIDA A LA OFICINA ASESORA JURIDICA. (ID: OAJ-138)</t>
  </si>
  <si>
    <t>PRESTAR LOS SERVICIOS PROFESIONALES PARA APOYAR EL ANÁLISIS Y CONTROL DE ASPECTOS ADMINISTRATIVOS Y FINANCIEROS DE LAS CAJAS DE COMPENSACIÓN FAMILIAR, BASADOS EN LA GENERACIÓN DE INDICADORES. (ID: SDG-297)</t>
  </si>
  <si>
    <t>PRESTAR SERVICIOS DE APOYO A LA GESTIÓN PARA EL SOPORTE DE SERVICIOS DE TI RELACIONADOS CON PERIFÉRICOS, HERRAMIENTAS DE OFIMÁTICA Y COMPONENTES TECNOLÓGICOS EN LA SUPERINTENDENCIA DEL SUBSIDIO FAMILIAR. (ID: OTIC-196)</t>
  </si>
  <si>
    <t>PRESTAR SERVICIOS PROFESIONALES PARA APOYAR LA IMPLEMENTACIÓN DE LA POLÍTICA DE GOBIERNO DIGITAL Y DE LA ESTRATEGIA DE USO Y APROPIACIÓN DE TI DE LA SUPERINTENDENCIA DEL SUBSIDIO FAMILIAR. (ID: OTIC-189)</t>
  </si>
  <si>
    <t>PRESTAR LOS SERVICIOS PROFESIONALES PARA BRINDAR APOYO EN EL DESARROLLO Y ACTUALIZACIÓN DEL SISTEMA DE RELATORIA Y LA DEFENSA JUDICIAL A CARGO DE LA OFICINA ASESORA JURÍDICA DE LA SUPERINTENDENCIA DEL SUBSIDIO FAMILIAR. (ID: OAJ-134).</t>
  </si>
  <si>
    <t>PRESTAR SERVICIOS PROFESIONALES PARA REALIZAR EL ACOMPAÑAMIENTO DE ACTIVIDADES RELACIONADAS CON EL MANEJO DEL SIIF NACIÓN, ANÁLISIS CONTABLES, FINANCIEROS E INFORMES QUE REQUIERA EL GRUPO DE GESTIÓN ADMINISTRATIVA DE LA SECRETARIA GENERAL DE LA SUPERINTENDENCIA DEL SUBSIDIO FAMILIAR. (ID: GGA-321)</t>
  </si>
  <si>
    <t>PRESTAR LOS SERVICIOS PROFESIONALES PARA APOYAR EL COMPONENTE JURÍDICO DE LA OFICINA DE CONTROL INTERNO DE LA SUPERINTENDENCIA DEL SUBSIDIO FAMILIAR, EN LA EJECUCIÓN DEL PLAN ANUAL DE AUDITORÍAS Y LA ELABORACIÓN Y SEGUIMIENTO DE INFORMES APROBADOS POR EL COMITÉ INSTITUCIONAL DE COORDINACIÓN DE CONTROL INTERNO. (ID: OCI-099).</t>
  </si>
  <si>
    <t>PRESTAR SERVICIOS PROFESIONALES PARA APOYAR EN LA APLICACIÓN DE DESCUENTOS A FAVOR DE TERCEROS Y/O LOS QUE PROVENGAN DE ORDENES JUDICIALES, ASÍ COMO, EN LA ELABORACIÓN DE ARCHIVOS PARA PAGO DE SEGURIDAD SOCIAL DERIVADOS DE LA NOMINA GENERAL Y DE LAS NOVEDADES CARGADAS QUE AFECTAN LA SEGURIDAD SOCIAL. (ID: GGTH-165)</t>
  </si>
  <si>
    <t>PRESTAR SERVICIOS DE APOYO A LA GESTIÓN AL GRUPO DE GESTIÓN CONTRACTUAL EN EL DESARROLLO DE ACTIVIDADES OPERATIVAS, CONTRACTUALES Y ADMINISTRATIVAS DE ACUERDO A LAS NECESIDADES DEL AREA. (ID: GGC-329).</t>
  </si>
  <si>
    <t>PRESTAR SERVICIOS PROFESIONALES PARA ADELANTAR LA REVISIÓN Y SEGUIMIENTO PRESUPUESTAL A LA EJECUCIÓN DE LOS PLANES Y DEMÁS TEMAS A CARGO DE LA SUPERINTENDENCIA DELEGADA PARA LA RESPONSABILIDAD ADMINISTRATIVA Y LAS MEDIDAS ESPECIALES, ASÍ COMO OTRAS ACTIVIDADES ADMINISTRATIVAS, EN EL MARCO DEL PROYECTO DE INVERSIÓN "MODERNIZACIÓN DE LA INSPECCIÓN, VIGILANCIA Y CONTROL DE LA SUPERINTENDENCIA DEL SUBSIDIO FAMILIAR". (ID: SDRAME-071-1).</t>
  </si>
  <si>
    <t>PRESTAR SERVICIOS PROFESIONALES PARA APOYAR EL DESARROLLO DE SOLUCIONES ANALÍTICAS BASADAS EN DATOS ESTADÍSTICOS DE LA SUPERINTENDENCIA DEL SUBSIDIO FAMILIAR. (ID: OTIC-228)</t>
  </si>
  <si>
    <t>(ID: OTIC-235) PRESTAR SERVICIOS PROFESIONALES PARA BRINDAR APOYO EN LA IMPLEMENTACIÓN DE HERRAMIENTAS Y CURSOS DE ELEARNING PARA LA DIVULGACIÓN DE SERVICIOS DE LA ENTIDAD Y FAVORECER EL ACCESO Y EXPERIENCIA DE USUARIO DE LA SUPERINTENDENCIA DEL SUBSIDIO FAMILIAR.</t>
  </si>
  <si>
    <t>(ID: SDG-288). PRESTAR SERVICIOS DE APOYO A LA GESTIÓN MEDIANTE EL DESARROLLO DE ACTIVIDADES ADMINISTRATIVAS Y OPERATIVAS, ORIENTADAS A APOYAR LOS PROCESOS MISIONALES Y DE SOPORTE DE LA SUPERINTENDENCIA DELEGADA PARA LA GESTIÓN.</t>
  </si>
  <si>
    <t>(ID: SDG-303). PRESTAR LOS SERVICIOS PROFESIONALES PARA ACOMPAÑAR LAS ACTIVIDADES RELACIONADAS CON IVC QUE REALIZA LA SUPERINTENDENCIA DE SUBSIDIO FAMILIAR A LAS CAJAS DE COMPENSACIÓN FAMILIAR, A TRAVÉS DE LA DELEGADA PARA LA GESTIÓN EN EL MARCO DE LA MODERNIZACIÓN DE IVC DE LA SUPERINTENDENCIA DEL SUBSIDIO FAMILIAR.</t>
  </si>
  <si>
    <t>PRESTAR SERVICIOS PROFESIONALES A LA SDEEEP PARA APOYAR EL ANÁLISIS DE DATOS, VALIDACIÓN Y CRITICA DE LA INFORMACIÓN REPORTADA POR LAS CAJAS DE COMPENSACIÓN FAMILIAR. (ID: SDEEEP-252)</t>
  </si>
  <si>
    <t>PRESTAR SERVICIOS PROFESIONALES EN EL ACOMPAÑAMIENTO JURÍDICO Y LEGAL EN LA REVISIÓN DE LOS MODELOS Y PRODUCTOS DE LA MODERNIZACIÓN DE IVC DE LA SUPERINTENDENCIA DEL SUBSIDIO FAMILIAR. (ID: SDG-293)</t>
  </si>
  <si>
    <t>PRESTAR SERVICIOS PROFESIONALES PARA APOYAR EL ANÁLISIS Y SEGUIMIENTO CONTABLE SOBRE LAS COMPETENCIAS PROPIAS DEL DESPACHO DE LA SUPERINTENDENCIA DEL SUBSIDIO FAMILIAR. (ID: DES-042)</t>
  </si>
  <si>
    <t>(ID: OTIC-327) PRESTAR SERVICIOS PROFESIONALES PARA DESARROLLAR, ACTUALIZAR Y CORREGIR ERRORES EN LA SEDE ELECTRÓNICA E INTRANET, ASEGURANDO SU CORRECTO FUNCIONAMIENTO Y COMPATIBILIDAD CON LOS ESTÁNDARES DE SEGURIDAD Y TECNOLOGÍA DE LA ENTIDAD.</t>
  </si>
  <si>
    <t>ID DES-039 PRESTAR SERVICIOS PROFESIONALES AL DESPACHO DEL SUPERINTENDENTE DEL SUBSIDIO FAMILIAR PARA REALIZAR ANÁLISIS Y DOCUMENTOS JURÍDICOS EN EL MARCO DEL PROCESO DE MEJORA NORMATIVA DEL SISTEMA DEL SUBSIDIO FAMILIAR.</t>
  </si>
  <si>
    <t>PRESTAR SERVICIOS PROFESIONALES PARA REALIZAR LA REVISIÓN DE LAS ACTUACIONES ADMINISTRATIVAS Y ADELANTAMIENTO DE TRÁMITES PROPIOS, REQUERIDOS EN LA SUPERINTENDENCIA DELEGADA PARA LA RESPONSABILIDAD ADMINISTRATIVA Y LAS MEDIDAS ESPECIALES, EN LO RELACIONADO CON PROGRAMAS DE SALUD, EN EL MARCO DEL PROYECTO "MODERNIZACIÓN DE LA INSPECCIÓN, VIGILANCIA Y CONTROL DE LA SUPERINTENDENCIA DEL SUBSIDIO FAMILIAR" (ID: SDRAME-080).</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</si>
  <si>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SDRAME-048-1)</t>
  </si>
  <si>
    <t>PRESTAR SERVICIOS DE APOYO A LA GESTIÓN PARA EL SOPORTE DE SERVICIOS DE TI RELACIONADOS CON PERIFÉRICOS, HERRAMIENTAS DE OFIMÁTICA Y COMPONENTES TECNOLÓGICOS EN LA SUPERINTENDENCIA DEL SUBSIDIO FAMILIAR. (ID: OTIC-194)</t>
  </si>
  <si>
    <t>PRESTAR LOS SERVICIOS PROFESIONALES PARA APOYAR LA GESTIÓN DE LA OFICINA ASESORA JURÍDICA EN LAS DENUNCIAS INSTAURADAS ANTE LA FISCALIA GENERAL DE LA NACIÓN Y DEMÁS ORGANOS DE CONTROL, AL IGUAL QUE LAS DEMÁS ACCIONES MISIONALES DEL ÁREA. (ID: OAJ-137)</t>
  </si>
  <si>
    <t>PRESTAR LOS SERVICIOS PROFESIONALES PARA APOYAR LAS ACTIVIDADES LEGALES DE IVC DE LOS SERVICIOS, PROGRAMAS SOCIALES Y OPERACIONES QUE PRESTAN LAS CAJAS DE COMPENSACIÓN FAMILIAR. (ID: SDG-268)</t>
  </si>
  <si>
    <t>PRESTAR SERVICIOS PROFESIONALES PARA ADELANTAR LOS TRÁMITES JURÍDICOS DE LA DELEGADA PARA LA RESPONSABILIDAD ADMINISTRATIVA Y LAS MEDIDAS ESPECIALES, ASI COMO LOS TRÁMITES CONTRACTUALES REQUERIDOS EN EL MARCO DEL PROYECTO "MODERNIZACIÓN DE LA INSPECCIÓN, VIGILANCIA Y CONTROL DE LA SUPERINTENDENCIA DEL SUBSIDIO FAMILIAR. (ID: SDRAME-065)</t>
  </si>
  <si>
    <t>AGENCIA DE VIAJES Y TURISMO GOLDTOUR S.A.S</t>
  </si>
  <si>
    <t>435-2022</t>
  </si>
  <si>
    <t>381-2023</t>
  </si>
  <si>
    <t xml:space="preserve">	Adquirir el suministro de tiquetes aéreos a nivel nacional e internacional para los funcionarios y contratistas de la Superintendencia del Subsidio Familiar.</t>
  </si>
  <si>
    <t>TRANSPORTES CSC S.A.S- EN REORGANIZACION</t>
  </si>
  <si>
    <t>Contratar la prestación del servicio de transporte terrestre automotor especial para los funcionarios de la Superintendencia del Subsidio Familiar en la ciudad de Bogotá</t>
  </si>
  <si>
    <t xml:space="preserve">	PRESTAR SERVICIOS PROFESIONALES PARA ADELANTAR LAS ACTIVIDADES JURÍDICAS RELACIONADAS CON EL PROCESO DE CONTROL LEGAL EFECTUADO A LA CAJAS DE COMPENSACIÓN FAMILIAR POR LA SUPERINTENDENCIA DELEGADA PARA LAS MEDIDAS ESPECIALES Y LA RESPONSABILIDAD ADMINISTRATIVA, EN EL MARCO DEL PROYECTO" MODERNIZACIÓN DE LA INSPECCIÓN, VIGILANCIA Y CONTROL DE LA SUPERINTENDENCIA DEL SUBSIDIO FAMILIAR. (ID: SDRAME-061).</t>
  </si>
  <si>
    <t>PRESTAR SERVICIOS PROFESIONALES EN LA SDEEEP PARA EL ACOMPAÑAMIENTO EN EL DISEÑO, IMPLEMENTACIÓN Y GESTIÓN DE SISTEMAS PARA PROCESAR Y ANALIZAR DATOS REPORTADOS POR LAS CAJAS DE COMPENSACIÓN FAMILIAR. (ID: SDEEEP-253).</t>
  </si>
  <si>
    <t>ADQUIRIR SERVICIOS DE CENTRO DE CONTACTO BPO [BUSINESS PROCESS OUTSOURCING] PARA FORTALECER EL RELACIONAMIENTO CON LA CIUDADANÍA A TRAVÉS DE LOS CANALES DE ATENCIÓN DISPUESTOS POR LA SUPERINTENDENCIA DEL SUBSIDIO FAMILIAR. (ID: OPU-119)</t>
  </si>
  <si>
    <t>PRESTAR SERVICIOS DE APOYO A LA GESTIÓN A LA OFICINA ASESORA DE PLANEACIÓN EN ACTIVIDADES EN MATERIA PRECONTRACTUAL, GESTIÓN INSTITUCIONAL Y APOYO A LAS DIFERENTES ACTIVIDADES PROPIAS DEL ÁREA. (ID: OAP-322).</t>
  </si>
  <si>
    <t>(ID: SDEEEP-255). PRESTAR SERVICIOS PROFESIONALES A LA SDEEEP PARA APOYAR LA IMPLEMENTACIÓN, MANTENIMIENTO Y MEJORA DE LA NORMA TÉCNICA DE CALIDAD DEL PROCESO ESTADÍSTICO.</t>
  </si>
  <si>
    <t>PRESTAR SERVICIOS DE APOYO A LA SDEEEP PARA APOYAR EL RESPALDO EN EL CUMPLIMIENTO DE SUS FUNCIONES EN MATERIA DE SEGUIMIENTO DE LOS COMPONENTES ARQUITECTÓNICOS Y DE INFRAESTRUCTURA DE LOS PROYECTOS DE INVERSIÓN PRESENTADOS POR LAS CAJAS DE COMPENSACIÓN FAMILIAR. (ID: SDEEEP-247).</t>
  </si>
  <si>
    <t>PRESTAR SERVICIOS PROFESIONALES PARA APOYAR EL PROCESO DE ACTUALIZACIÓN Y MODERNIZACIÓN DEL REGISTRO Y CONTROL DE CAJAS DE COMPENSACION FAMILIAR A CARGO DE LA DELEGADA PARA LA RESPONSABILIDAD ADMINISTRATIVA Y LAS MEDIDAS ESPECIALES, EN EL MARCO DEL PROYECTO "MODERNIZACIÓN DE LA INSPECCIÓN, VIGILANCIA Y CONTROL DE LA SUPERINTENDENCIA DEL SUBSIDIO FAMILIAR. (ID: SDRAME-052)</t>
  </si>
  <si>
    <t>PRESTAR SERVICIOS PROFESIONALES A LA SECRETARIA GENERAL PARA APOYAR LOS ASUNTOS JURÍDICOS Y PROCEDIMIENTOS A CARGO DEL ÁREA. (ID: SG-084)</t>
  </si>
  <si>
    <t>PRESTAR SERVICIOS PROFESIONALES A LA SDEEEP PARA APOYO Y SEGUIMIENTO DE LOS PLANES, PROGRAMAS Y PROYECTOS DE INVERSIÓN PARA OBRAS O SERVICIOS SOCIALES PRESENTADOS A TRAVÉS DEL BANCO DE PROYECTOS DE INVERSIÓN DEL SUBSIDIO FAMILIAR. (ID: SDEEEP-245).</t>
  </si>
  <si>
    <t>PRESTAR SERVICIOS PROFESIONALES DE APOYO Y ACOMPAÑAMIENTO EN PROCESOS DE CONTRATACIÓN Y CONSULTAS JURÍDICAS RELACIONADAS CON PROYECTOS DE LA OFICINA TIC. (ID: OTIC-223).</t>
  </si>
  <si>
    <t>PRESTAR SERVICIOS DE APOYO A LA SDEEEP PARA APOYAR EL RESPALDO EN EL CUMPLIMIENTO DE SUS FUNCIONES EN MATERIA DE SEGUIMIENTO DE LOS COMPONENTES ARQUITECTÓNICOS Y DE INFRAESTRUCTURA DE LOS PROYECTOS DE INVERSIÓN PRESENTADOS POR LAS CAJAS DE COMPENSACIÓN FAMILIAR. (ID: SDEEEP-246)</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</si>
  <si>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SDRAME-073-1)</t>
  </si>
  <si>
    <t>PRESTAR SERVICIOS PROFESIONALES A LA SDEEEP PARA APOYAR LA CREACIÓN DE INTERFACES, DISEÑO DE PRODUCTOS O DISEÑO GRAFICO EN LA IMPLEMENTACIÓN DEL LABORATORIO DE INNOVACIÓN DEL SISTEMA DEL SUBSIDIO FAMILIAR. (ID: SDEEEP-261)</t>
  </si>
  <si>
    <t>"PRESTAR LOS SERVICIOS PROFESIONALES ESPECIALIZADOS PARA LA ACTUALIZACIÓN, ANÁLISIS Y PROPUESTA DEL DOCUMENTO TÉCNICO DEL REDISEÑO INSTITUCIONAL DE LA SUPERINTENDENCIA DEL SUBSIDIO FAMILIAR, ENCAMINADO A FORTALECER LA CAPACIDAD INSTITUCIONAL Y EL MODELO DE OPERACIÓN, EN CUMPLIMIENTO DE LA POLÍTICA DEL GOBIERNO NACIONAL EN CUANTO A LA FORMALIZACIÓN DE EMPLEOS, CONFORME A LOS LINEAMIENTOS EMITIDOS POR EL DEPARTAMENTO ADMINISTRATIVO DE LA FUNCIÓN PÚBLICA- DAFP. (ID: OAP-330)".</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</si>
  <si>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OAP-335)</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</si>
  <si>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OAP-334)</t>
  </si>
  <si>
    <t>PRESTAR SERVICIOS PROFESIONALES A LA SUPERINTENDENCIA DEL SUBSIDIO FAMILIAR PARA APOYAR EL DESARROLLO DE LAS ACTIVIDADES NECESARIAS PARA EL ANÁLISIS INSTITUCIONAL Y DEL TALENTO HUMANO EN LA PROPUESTA DE LA ESTRUCTURACIÓN DEL REDISEÑO INSTITUCIONAL DE LA ENTIDAD; EN EL MARCO DEL MODELO INTEGRADO DE PLANEACIÓN Y GESTIÓN (MIPG) (ID: OAP-333)</t>
  </si>
  <si>
    <t>PRESTAR SERVICIOS PROFESIONALES ESPECIALIZADOS A LA SUPERINTENDENCIA DEL SUBSIDIO FAMILIAR PARA ACOMPAÑAR EN EL DESARROLLO DE LAS ACTIVIDADES NECESARIAS PARA EL ANÁLISIS Y PROPUESTA EN LA ESTRUCTURACIÓN DEL REDISEÑO INSTITUCIONAL; EN EL MARCO DEL MODELO INTEGRADO DE PLANEACIÓN Y GESTIÓN (MIPG). (ID: OAP-331)</t>
  </si>
  <si>
    <t>PRESTAR SERVICIOS JURÍDICOS A LA SUPERINTENDENCIA DEL SUBSIDIO FAMILIAR PARA APOYAR EN EL DESARROLLO DE LAS ACTIVIDADES NECESARIAS PARA EL ANÁLISIS Y PROPUESTA EN LA ESTRUCTURACIÓN DEL REDISEÑO INSTITUCIONAL; EN EL MARCO DEL MODELO INTEGRADO DEL PLANEACIÓN Y GESTIÓN (MIPG). (ID: GGTH-332)</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</si>
  <si>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SDRAME-049-1)</t>
  </si>
  <si>
    <t>PRESTAR SERVICIOS PROFESIONALES PARA APOYAR EN LOS PROCESOS JURÍDICOS, PRECONTRACTUALES, CONTRACTUALES Y POSCONTRACTUALES DEL GRUPO DE GESTIÓN ADMINISTRATIVA DE LA SECRETARIA GENERAL DE LA SUPERINTENDENCIA DEL SUBSIDIO FAMILIAR. (ID: GGA-015).</t>
  </si>
  <si>
    <t>PRESTAR SERVICIOS EN LA EJECUCIÓN DE LOS PROGRAMAS DE FORMACIÓN Y CAPACITACIÓN INSTITUCIONAL (PIFC) Y EL PLAN DE GESTION AMBIENTAL EN EL MARCO DE MIPG, PARA LOS SERVIDORES PÚBLICOS DE LA SUPERINTENDENCIA DEL SUBSIDIO FAMILIAR (ID: GGTH-173)</t>
  </si>
  <si>
    <t>PRESTAR SERVICIOS PROFESIONALES PARA REALIZAR EL ACOMPAÑAMIENTO A LOS PROCESOS EN LA REVISIÓN Y ACTUALIZACIÓN DE LOS MAPAS DE RIESGOS DE GESTIÓN, DE. INTEGRIDAD Y FISCALES DE LA SUPERINTENDENCIA DEL SUBSIDIO FAMILIAR, ASÍ COMO PARA EL FORTALECIMIENTO DEL PLAN DE CONTINUIDAD DEL NEGOCIO DE LA ENTIDAD. (ID: OAP-090-1).</t>
  </si>
  <si>
    <t>PRESTAR SERVICIOS PROFESIONALES PARA APOYAR LAS ACTIVIDADES DE ACTUALIZACIÓN Y FORTALECIMIENTO DEL SISTEMA DE GESTIÓN DE CALIDAD, EN ARTICULACIÓN CON EL MODELO INTEGRADO DE PLANEACIÓN Y GESTIÓN - MIPG, LA NORMATIVIDAD VIGENTE, EL MEJORAMIENTO CONTINUO Y LAS DIRECTRICES DE LA ALTA DIRECCIÓN (ID: OAP-092-1)</t>
  </si>
  <si>
    <t>PRESTAR SERVICIOS PROFESIONALES PARA REALIZAR EL ACOMPAÑAMIENTO EN LOS PROCESOS JURÍDICOS Y CONTRACTUALES DE LA SECRETARÍA GENERAL. (ID: SG-086).</t>
  </si>
  <si>
    <t>PRESTAR SERVICIOS PROFESIONALES JURÍDICOS PARA ADELANTAR ACTIVIDADES Y TRÁMITES ADMINISTRATIVOS A CARGO DE LA DELEGADA PARA LA RESPONSABILIDAD ADMINISTRATIVA YLAS MEDIDAS ESPECIALES EN RELACIÓN CON SU FUNCIÓN DE VIGILANCIA, EN EL MARCO DEL PROYECTO "MODERNIZACIÓN DE LA INSPECCIÓN, VIGILANCIA Y CONTROL DE LA SUPERINTENDENCIA DEL SUBSIDIO FAMILIAR". (ID: SDRAME-078).</t>
  </si>
  <si>
    <t>PRESTAR SERVICIOS PROFESIONALES JURÍDICOS QUE SE REQUIERAN EN EL MARCO DE LA FUNCIÓN DE VIGILANCIA Y CONTROL LEGAL REALIZADO POR LA SUPERINTENDENCIA DELEGADA PARA LA RESPONSABILIDAD ADMINISTRATIVA Y LAS MEDIDAS ESPECIALES, A LAS CAJAS DE COMPENSACIÓN FAMILIAR EN EL MARCO DEL PROYECTO "MODERNIZACIÓN DE LA INSPECCIÓN, VIGILANCIA Y CONTROL DE LA SUPERINTENDENCIA DEL SUBSIDIO FAMILIAR". (ID: SDRAME-076)</t>
  </si>
  <si>
    <t>(ID: SDRAME-337) PRESTAR SERVICIOS PROFESIONALES EN LA GESTIÓN DE TRÁMITES ADMINISTRATIVOS REQUERIDOS EN LA DELEGADA PARA LA RESPONSABILIDAD ADMINISTRATIVA Y LAS MEDIDAS ESPECIALES, EN EL MARCO PROYECTO" MODERNIZACIÓN DE LA INSPECCIÓN, VIGILANCIA Y CONTROL DE LA SUPERINTENDENCIA DEL SUBSIDIO FAMILIAR".</t>
  </si>
  <si>
    <t>PRESTAR LOS SERVICIOS PROFESIONALES PARA APOYAR EL DESARROLLO DE LA ACTIVIDAD DEL PROYECTO DE INVERSIÓN A CARGO DE LA OFICINA ASESORA JURÍDICA, ASÍ COMO LA GESTIÓN DE COBRO COACTIVO A CARGO DE LA SUPERINTENDENCIA DEL SUBSIDIO FAMILIAR. (ID: OAJ-135-1)</t>
  </si>
  <si>
    <t>(ID: OAJ-316) PRESTAR LOS SERVICIOS PROFESIONALES PARA A LA OFICINA ASESORA JURIDICA EN LO CORRESPONDIENTE ACCIONES JUDICIALES.</t>
  </si>
  <si>
    <t>PRESTAR SERVICIOS PROFESIONALES PARA BRINDAR APOYO AL GRUPO DE GESTIÓN DEL TALENTO HUMANO EN LAS ACTIVIDADES PROPIAS AL SEGUIMIENTO Y REALIZACIÓN DE LOS REPORTES RELACIONADOS CON LOS PLANES INSTITUCIONALES (ID: GGTH-155)</t>
  </si>
  <si>
    <t>(ID: GGTH-157) PRESTAR SERVICIOS DE APOYO A LA GESTION CON EL FIN DE DESARROLLAR ACTIVIDADES DE GESTIÓN DOCUMENTAL EN LA CONSOLIDACION DEL ARCHIVO DE HISTORIAS LABORALES A CARGO DEL GRUPO DE GESTIÓN DEL TALENTO HUMANO.</t>
  </si>
  <si>
    <t>PRESTAR LOS SERVICIOS PROFESIONALES PARA ADELANTAR ACTIVIDADES DENTRO DE LA DELEGADA PARA LA RESPONSABILIDAD ADMINISTRATIVA Y LAS MEDIDAS ESPECIALES, EN LA GENERACIÓN DE ESTRATEGIAS PARA EL MEJORAMIENTO DEL ÍNDICE DE DESEMPEÑO INSTITUCIONAL EN EL MARCO DE LA IMPLEMENTACIÓN DEL MODELO INTEGRADO DE PLANEACIÓN Y GESTIÓN MIPG. (ID: SDRAME-082-1)</t>
  </si>
  <si>
    <t>PRESTAR SERVICIOS PROFESIONALES PARA APOYAR LOS PROCESOS EDUCACIÓN INFORMAL A LOS GRUPOS DE VALOR Y DE INTERES DE LA SUPERINTENDENCIA DEL SUBSIDIO FAMILIAR PARA FORTALECER EL RELACIONAMIENTO CON LA CIUDADANÍA. ID: OPU-118</t>
  </si>
  <si>
    <t>PRESTAR SERVICIOS PROFESIONALES PARA ANALIZAR EN LOS PROCESOS DE AUDITORÍA LOS ASPECTOS CONTABLES, PRESUPUESTALES, FINANCIEROS YTRIBUTARIOS QUE SE REQUIERAN EN EL MARCO DEL CONTROL LEGAL REALIZADOPOR LA SUPERINTENDENCIA DELEGADA PARA LA RESPONSABILIDAD ADMINISTRATIVA Y LAS MEDIDAS ESPECIALES, A LAS CAJAS DE COMPENSACIÓN FAMILIAR CON MEDIDA CAUTELAR EN EL MARCO DEL PROYECTO" MODERNIZACIÓN DE LA INSPECCIÓN, VIGILANCIA Y CONTROL DE LA SUPERINTENDENCIA DEL SUBSIDIO FAMILIAR. ID: SDRAME-075</t>
  </si>
  <si>
    <t>PRESTAR SERVICIOS PROFESIONALES COMO DESARROLLADOR PARA EL PROCESO DE AUTOMATIZACIONES DE LA PLATAFORMA DE GESTIÓN INSTITUCIONAL - ID-OTIC-225</t>
  </si>
  <si>
    <t>PRESTAR SERVICIOS PROFESIONALES DE ACOMPAÑAMIENTO EN EL DISEÑO DE INTERFAZ Y EXPERIENCIA DE USUARIO [UI/UX] PARA LAS APLICACIONES DIGITALES Y SISTEMAS DE INFORMACIÓN DE LA SUPERINTENDENCIA DEL SUBSIDIO FAMILIAR. (ID: OPU-122)</t>
  </si>
  <si>
    <t>PRESTAR SERVICIOS PROFESIONALES PARA BRINDAR APOYO EN EL DESARROLLO BACKEND DE LOS CANALES DE LA SUPERSUBSIDIO, PARA LA OPTIMIZACIÓN, EL ALMACENAMIENTO [BASES DE DATOS], LA SEGURIDAD Y LA CONFIGURACIÓN E INTEGRACIÓN DE SERVICIOS INTERNOS Y EXTERNOS QUE CONSUMAN DICHOS CANALES. (ID: OPU-120)</t>
  </si>
  <si>
    <t>PRESTAR SERVICIOS PROFESIONALES PARA GESTIONAR JURÍDICAMENTE LAS ACTUACIONES ADMINISTRATIVAS A CARGO DE LA DELEGADA PARA LA RESPONSABILIDAD ADMINISTRATIVA Y LAS MEDIDAS ESPECIALES, EN EL MARCO DEL PROYECTO DE INVERSIÓN "MODERNIZACIÓN DE LA INSPECCIÓN, VIGILANCIA Y CONTROL DE LA SUPERINTENDENCIA DEL SUBSIDIO FAMILIAR". (ID: SDRAME-051)</t>
  </si>
  <si>
    <t>PRESTAR SERVICIOS PROFESIONALES A LA OFICINA ASESORA DE PLANEACIÓN PARA BRINDAR ORIENTACIÓN EN LA FORMULACIÓN DEL ANTEPROYECTO DE PRESUPUESTO Y MGMP, ASÍ COMO PARA EFECTUAR LA FORMULACIÓN Y SEGUIMIENTO DE LOS PROYECTOS BPIN DE LA SUPERINTENDENCIA DEL SUBSIDIO FAMILIAR. (ID: OAP-088-1)</t>
  </si>
  <si>
    <t>PRESTAR SERVICIOS PROFESIONALES PARA EL ACOMPAÑAMIENTO EN EL DESARROLLO DE PRODUCTOS VISUALES NECESARIOS PARA LA APROPIADA DIVULGACIÓN DE LA INFORMACION RELACIONADA CON LAS ESTADISTICAS QUE REPORTAN LAS CAJA DE COMPENSACIÓN FAMILIAR A LA SUPERINTENDENCIA DELEGADA PARA ESTUDIOS ESPECIALES Y EVALUACIÓN DE PROYECTOS. (ID: SDEEEP-254).</t>
  </si>
  <si>
    <t>PRESTAR SERVICIOS PROFESIONALES PARA ADELANTAR ACTIVIDADES JURÍDICAS Y DE SUSTANCIACIÓN EN EL MARCO DE LAS AVERIGUACIONES PRELIMINARES Y PROCESOS ADMINISTRATIVOS SANCIONATORIOS A CARGO DE LA DELEGADA PARA LA RESPONSABILIDAD ADMINISTRATIVA Y LAS MEDIDAS ESPECIALES, EN EL MARCO DEL PROYECTO "MODERNIZACIÓN DE LA INSPECCIÓN, VIGILANCIA Y CONTROL DE LA SUPERINTENDENCIA DEL SUBSIDIO FAMILIAR. (ID: SDRAME-062).</t>
  </si>
  <si>
    <t>(ID: OPU-116-1). PRESTAR SERVICIOS PROFESIONALES PARA APOYAR LA IMPLEMENTACIÓN Y SEGUIMIENTO A DIRECTRICES EN MATERIA DE ATENCIÓN FOCALIZADA EN POBLACIÓN CON DISCAPACIDAD AUDITIVA E INTERPRETACIÓN EN LENGUA DE SEÑAS COLOMBIANA, PARA FORTALECER LA ATENCIÓN Y EL RELACIONAMIENTO CON POBLACIÓN DIFERENCIAL.</t>
  </si>
  <si>
    <t>PRESTAR SERVICIOS PROFESIONALES PARA REALIZAR LA REVISIÓN DE ACTOS ADMINISTRATIVOS Y DEMÁS DOCUMENTOS QUE SE GENEREN DENTRO DE LA DELEGADA PARA LA RESPONSABILIDAD ADMINISTRATIVA Y LAS MEDIDAS ESPECIALES, ASÍ COMO ADELANTAR TRÁMITES JURÍDICOS PROPIOS DE LA DEPENDENCIA, EN EL MARCO DEL PROYECTO "MODERNIZACIÓN DE LA INSPECCIÓN, VIGILANCIA Y CONTROL DE LA SUPERINTENDENCIA DEL SUBSIDIO FAMILIAR". (ID: SDRAME-054-1)</t>
  </si>
  <si>
    <t>PRESTAR SERVICIOS PROFESIONALES PARA REALIZAR ACTIVIDADES DE SUSTANCIACIÓN Y ADELANTAMIENTO DE ACTIVIDADES JURÍDICAS DENTRO DE LOS PROCESOS QUE REALIZA LA DELEGADA PARA LA RESPONSABILIDAD ADMINISTRATIVA Y LAS MEDIDAS ESPECIALES, EN EL MARCO DEL PROYECTO "MODERNIZACIÓN DE LA INSPECCIÓN, VIGILANCIA Y CONTROL DE LA SUPERINTENDENCIA DEL SUBSIDIO FAMILIAR. (ID: SDRAME-064).</t>
  </si>
  <si>
    <t>PRESTAR SERVICIOS PROFESIONALES A LA SDEEEP PARA APOYAR EL DISEÑO DE PROCESOS DE INNOVACIÓN, CONSTRUCCIÓN DE SISTEMAS DE INNOVACIÓN Y GENERACIÓN DE METODOLOGÍAS. (ID: SDEEEP-260)</t>
  </si>
  <si>
    <t>PRESTAR SERVICIOS PROFESIONALES JURIDICOS Y DE NOMINA EN EL GRUPO DE GESTIÓN DEL TALENTO HUMANO DE LA SUPERINTENDENCIA DEL SUBSIDIO FAMILIAR. (ID: GGTH-341)</t>
  </si>
  <si>
    <t>PRESTAR LOS SERVICIOS PROFESIONALES PARA APOYAR LAS ACTIVIDADES RELACIONADAS CON LA IVC DE LOS FONDOS DE LEY Y LOS PROYECTOS DE INVERSIÓN EJECUTADOS POR LAS CAJAS DE COMPENSACIÓN FAMILIAR. (ID: SDG-291-1)</t>
  </si>
  <si>
    <t>PRESTAR SERVICIOS DE APOYO A LA GESTIÓN PARA EL SOPORTE DE SERVICIOS DE TI RELACIONADOS CON PERIFÉRICOS, HERRAMIENTAS DE OFIMÁTICA Y COMPONENTES TECNOLÓGICOS EN LA SUPERINTENDENCIA DEL SUBSIDIO FAMILIAR. (ID: OTIC-197)</t>
  </si>
  <si>
    <t>PRESTAR SERVICIOS DE APOYO A LA GESTIÓN EN LA NOMINA DE LA SUPERINTENDENCIA DEL SUBSIDIO FAMILIAR. (ID: GGTH-340).</t>
  </si>
  <si>
    <t>(ID: SDEEEP-256). PRESTAR SERVICIOS PROFESIONALES A LA SDEEEP APOYANDO LA GESTIÓN, ANÁLISIS Y TRANSFORMACIÓN DE LOS DATOS REPORTADOS POR LAS CAJAS DE COMPENSACIÓN FAMILIAR.</t>
  </si>
  <si>
    <t>PRESTAR SERVICIOS PROFESIONALES PARA APOYAR AL GRUPO DE GESTIÓN DEL TALENTO HUMANO EN EL DESARROLLO DE LAS ACTIVIDADES DEL SG-SST. (ID: GGTH-167).</t>
  </si>
  <si>
    <t>PRESTAR EL SERVICIO DE MANTENIMIENTO PREVENTIVO Y CORRECTIVO PARA EL VEHICULO KIA RIO UB EX DE LA SUPERINTENDENCIA DE SUBSIDIO FAMILIAR. (ID: GGA-006)</t>
  </si>
  <si>
    <t>PRESTAR SERVICIOS PROFESIONALES PARA BRINDAR APOYO EN EL PROCESO DE GESTIÓN DE COBRO COACTIVO ADELANTADO POR PARTE DE LA OAJ, AL IGUAL QUE COLABORAR CON LAS ACCIONES JUDICIALES QUE REQUIERA LA SUPERSUBSIDIO (ID: OAJ-336)</t>
  </si>
  <si>
    <t>PRESTAR SERVICIOS PROFESIONALES PARA APOYAR LA GESTIÓN DE LOS DIFERENTES ELEMENTOS DE INFRAESTRUCTURA TECNOLÓGICA DE LA SUPERINTENDENCIA DEL SUBSIDIO FAMILIAR. (ID: OTIC-179-1)</t>
  </si>
  <si>
    <t>PRESTAR SERVICIOS PROFESIONALES PARA EL APOYO EN LA PLANEACIÓN, SEGUIMIENTO Y CONTROL DE LOS PROYECTOS DE DESARROLLO DE LOS SISTEMAS DE INFORMACIÓN DE LA SUPERINTENDENCIA DEL SUBSIDIO FAMILIAR. (ID: OTIC-175-1)</t>
  </si>
  <si>
    <t>PRESTAR SERVICIOS PROFESIONALES PARA ACOMPAÑAR LAS ACTIVIDADES DE IDENTIFICACIÓN E IMPLEMENTACIÓN DE MEJORAS DE PROCESOS Y CAPACIDADES INSTITUCIONALES DE LA ENTIDAD CON BASE EN EL MARCO DE LA ARQUITECTURA EMPRESARIAL. (ID: OAP-097)</t>
  </si>
  <si>
    <t>(ID: SDG-282-1) PRESTAR SERVICIOS PROFESIONALES PARA APOYAR EL SEGUIMIENTO A LAS CAJAS DE COMPENSACIÓN FAMILIAR, EN EL PROCESO DE IVC.</t>
  </si>
  <si>
    <t>PRESTAR SERVICIOS PROFESIONALES PARA REALIZAR ACTIVIDADES RELACIONADAS CON LA SUSTANCIACIÓN Y ANÁLISIS DE LAS ACTUACIONES JURÍDICAS QUE SE REQUIERAN EN EL MARCO DEL PROCESO DE CONTROL LEGAL A CAJAS DE COMPENSACIÓN FAMILIAR, EN EL MARCO DEL PROYECTO "MODERNIZACIÓN DE LA INSPECCIÓN, VIGILANCIA Y CONTROL DE LA SUPERINTENDENCIA DEL SUBSIDIO FAMILIAR. (ID: SDRAME-066).</t>
  </si>
  <si>
    <t>PRESTAR LOS SERVICIOS PROFESIONALES EN EL ACOMPAÑAMIENTO DE ASUNTOS JURÍDICOS PARA REALIZAR VALIDACIONES DE LA INFORMACIÓN DE LOS SERVICIOS, PROGRAMAS SOCIALES Y OPERACIONES QUE PRESTAN LAS CAJAS DE COMPENSACIÓN. (ID: SDG-274-1)</t>
  </si>
  <si>
    <t>(ID: GGTH-169) ADQUIRIR UN SOFTWARE DE NÓMINA PARA LA
SUPERINTENDENCIA DEL SUBSIDIO FAMILIAR.</t>
  </si>
  <si>
    <t xml:space="preserve">	PRESTAR SERVICIOS PROFESIONALES PARA BRINDAR APOYO EN LAS ACTIVIDADES DE PLANEACIÓN ESTRATÉGICA DE LA ARQUITECTURA DE INFRAESTRUCTURA TECNOLÓGICA DE LA ENTIDAD Y LA GESTIÓN DE CAPACIDAD Y DE DISPONIBILIDAD DE SOPORTE A LOS SERVICIOS TI DE LA SUPERINTENDENCIA DEL SUBSIDIO FAMILIAR (ID: OTIC-186-1).</t>
  </si>
  <si>
    <t>PRESTAR SERVICIOS PROFESIONALES PARA APOYAR EL DISEÑO DE LOS PRODUCTOS COMUNICATIVOS INSTITUCIONALES Y LA ANIMACIÓN DE PIEZAS AUDIOVISUALES Y DIDÁCTICAS DE LA SUPERINTENDENCIA DEL SUBSIDIO FAMILIAR. (ID: COM-145)</t>
  </si>
  <si>
    <t>PRESTAR SERVICIOS PROFESIONALES PARA APOYAR LAS ACTIVIDADES DE GOBIERNO DEL SISTEMA DE INFORMACIÓN - SIMON DE LA SUPERINTENDENCIA DEL SUBSIDIO FAMILIAR.ID: (OTIC-192-1)</t>
  </si>
  <si>
    <t>PRESTAR LOS SERVICIOS PROFESIONALES PARA APOYAR EL DESARROLLO DE LA ACTIVIDAD DEL PROYECTO DE INVERSIÓN DE IVC A CARGO DE LA OFICINA ASESORA JURÍDICA, ASÍ COMO CON LA EJECUCIÓN DE LAS ACTIVIDADES JURIDICAS PROPIAS DEL ÁREA. (ID: OAJ-136-1)</t>
  </si>
  <si>
    <t>PRESTAR SERVICIOS PROFESIONALES PARA LLEVAR A CABO EL ANÁLISIS JURÍDICO, SUSTANCIACIÓN E IMPULSO DE ACTUACIONES ADMINISTRATIVAS RELACIONADAS CON LAS COMPETENCIAS DE LA DELEGADA PARA LA RESPONSABILIDAD ADMINISTRATIVA Y LAS MEDIDAS ESPECIALES, EN EL MARCO DEL PROYECTO DE INVERSIÓN "MODERNIZACIÓN DE LA INSPECCIÓN, VIGILANCIA Y CONTROL DE LA SUPERINTENDENCIA DEL SUBSIDIO FAMILIAR. (ID: SDRAME-057)</t>
  </si>
  <si>
    <t>PRESTAR SERVICIOS PROFESIONALES PARA EL ANÁLISIS FINANCIERO, CONTABLE Y TRÁMITES PROPIOS DE LA SUPERINTENDENCIA DELEGADA PARA LA RESPONSABILIDAD ADMINISTRATIVA Y LAS MEDIDAS ESPECIALES, EN EL MARCO DEL PROYECTO "MODERNIZACIÓN DE LA INSPECCIÓN, VIGILANCIA Y CONTROL DE LA SUPERINTENDENCIA DEL SUBSIDIO FAMILIAR. (ID: SDRAME-074)</t>
  </si>
  <si>
    <t>(ID: GGC-037) PRESTAR SERVICIOS PROFESIONALES PARA EL APOYO JURÍDICO DESDE LA PLANEACIÓN, PROYECCIÓN DE DOCUMENTOS PREVIOS, ALISTAMIENTO DOCUMENTAL, PUBLICACIÓN DE LOS DOCUMENTOS QUE REQUIERA LA ENTIDAD EN LAS ETAPAS PRECONTRACTUAL, CONTRACTUAL Y POSTCONTRACTUAL AL GRUPO DE GESTIÓN CONTRACTUAL EN LOS PROCESOS DE CONTRATACIÓN.</t>
  </si>
  <si>
    <t>PRESTAR SERVICIOS PROFESIONALES PARA APOYAR LA GESTION DE ACTUACIONES ADMINISTRATIVAS EN EL MARCO DE AVERIGUACIONES PRELIMINARES Y PROCESOS ADMINISTRATIVOS SANCIONATORIOS A CARGO DEL PROCESO DE CONTROL LEGAL DE LA SUPERINTENDENCIA DELEGADA PARA LAS MEDIDAS ESPECIALES Y LA RESPONSABILIDAD ADMINISTRATIVA, EN EL MARCO DEL PROYECTO "MODERNIZACIÓN DE LA INSPECCIÓN, VIGILANCIA Y CONTROL DE LA SUPERINTENDENCIA DEL SUBSIDIO FAMILIAR".(ID: SDRAME-069)</t>
  </si>
  <si>
    <t>PRESTAR SERVICIOS PROFESIONALES AL DESPACHO DEL SUPERINTENDENTE DEL SUBSIDIO FAMILIAR PARA APOYAR LAS ACTIVIDADES DE RECEPCIÓN, ANÁLISIS Y GESTIÓN DE DENUNCIAS POR ACTOS O RIESGOS DE CORRUPCIÓN. (ID: DES-047)</t>
  </si>
  <si>
    <t>PRESTAR LOS SERVICIOS PROFESIONALES PARA APOYAR LAS ACTIVIDADES JURÍDICAS EN EL PROCESO DE IVC QUE SE REALIZA A LAS CAJAS DE COMPENSACIÓN FAMILIAR DE ACUERDO A LAS COMPETENCIAS DE LA SUPERINTENDENCIA DELEGADA PARA LA GESTIÓN. (ID: SDG-267)</t>
  </si>
  <si>
    <t>PRESTAR SERVICIOS PROFESIONALES PARA APOYAR EL FORTALECIMIENTO DEL DESARROLLO DEL SISTEMA INTEGRADO DE ALERTAS TEMPRANAS EN LA SUPERINTENDENCIA DELEGADA PARA LA GESTIÓN, COMO HERRAMIENTA DE MODERNIZACIÓN DE LA IVC DE LA SUPERSUBSIDIO. (ID: SDG-301-1)</t>
  </si>
  <si>
    <t>PRESTAR LOS SERVICIOS PROFESIONALES PARA APOYAR LAS ACTIVIDADES LEGALES DE IVC DE LOS SERVICIOS, PROGRAMAS SOCIALES Y OPERACIONES QUE PRESTAN LAS CAJAS DE COMPENSACIÓN FAMILIAR. (ID: SDG-269)</t>
  </si>
  <si>
    <t>PRESTAR LOS SERVICIOS PROFESIONALES APOYANDO AL GRUPO DE GESTIÓN FINANCIERA EN LA REALIZACIÓN DE TRANSACCIONES EN EL SIIF NACIÓN Y LA CONCILIACIÓN DE INFORMACIÓN EN LOS DIFERENTES PERFILES QUE REQUIERA EL GRUPO. (ID: GGF-133)</t>
  </si>
  <si>
    <t>MARIA MONICA PORTACIO MARTINEZ</t>
  </si>
  <si>
    <t>WISTON JUNIOR LOPEZ NEGRETE</t>
  </si>
  <si>
    <t>OUTSOURCING SERVICIOS INFORMATICOS SAS BIC_x000D_</t>
  </si>
  <si>
    <t>LUZ HELENA LATORRE CUENCA</t>
  </si>
  <si>
    <t xml:space="preserve"> FRANCY MILENA MARTINEZ BASTO</t>
  </si>
  <si>
    <t>JUAN PABLO CAMACHO TORRES</t>
  </si>
  <si>
    <t>NELSON PLAZAS BETANCOURT</t>
  </si>
  <si>
    <t>MIRTA SANTAMARIA FAJARDO</t>
  </si>
  <si>
    <t>JUAN CAMILO VASQUEZ INFANTE</t>
  </si>
  <si>
    <t>DORIS CORTES GONZALEZ</t>
  </si>
  <si>
    <t>JOHAN MANUEL DAVILA HURTADO</t>
  </si>
  <si>
    <t>HEYSELL NAFASHA GARCIA AGUILAR</t>
  </si>
  <si>
    <t>BAHAMON ASESORES ASOCIADOS SAS</t>
  </si>
  <si>
    <t>JONATHAN LEONARDO GOMEZ CARDENAS</t>
  </si>
  <si>
    <t xml:space="preserve">LINDAY SASCHENKA BAHAMON </t>
  </si>
  <si>
    <t>LIZBETH GINEIDY CALDERON MIÑOZ</t>
  </si>
  <si>
    <t>NELLY QUINTANAJEREZ</t>
  </si>
  <si>
    <t>SANTAGO RESTREPO BAHAMON</t>
  </si>
  <si>
    <t>MIGUEL ANDERSON PUENTES</t>
  </si>
  <si>
    <t>MONICA ANDREA RAMIREZ ROMERO</t>
  </si>
  <si>
    <t>UNIVERSIDAD DISTRITAL DE COLOMBIA</t>
  </si>
  <si>
    <t xml:space="preserve">FREDY ORLANDO RODRIGUEZ JIMENEZ </t>
  </si>
  <si>
    <t>CLAUDIA PAOLA RIVERA MIÑOZ</t>
  </si>
  <si>
    <t>INGRID BIBIANA GARZON ROJAS</t>
  </si>
  <si>
    <t>CARLOS MARIO QUINTERO LOPEZ</t>
  </si>
  <si>
    <t xml:space="preserve">KAREN YULIETH BOHORQUEZ NIETO </t>
  </si>
  <si>
    <t>JORGE FELIPE ESCOBAR CASSIANI</t>
  </si>
  <si>
    <t>DIANA MILENA LOPEZ LOPEZ</t>
  </si>
  <si>
    <t>DANNY ALEXANDER GONZALEZ</t>
  </si>
  <si>
    <t xml:space="preserve">SILVIA CAMARO VELAZCO </t>
  </si>
  <si>
    <t>MICHAEL ANGEL SANCHEZ</t>
  </si>
  <si>
    <t>MARIA VICTORIA ROMERO SANCHEZ</t>
  </si>
  <si>
    <t>LUIS FERNANDO ROJAS TELLEZ</t>
  </si>
  <si>
    <t>CARLOS ARTURO JUNIOR RINCON AVILAN</t>
  </si>
  <si>
    <t>HENRY STEVEN GARZON CHIMBI</t>
  </si>
  <si>
    <t>RODRIGO ALFONSO ARIZA ORTIZ</t>
  </si>
  <si>
    <t>GABRIELA LARA CATÓLICO</t>
  </si>
  <si>
    <t>JUAN DAVID ESPITIA MORENO</t>
  </si>
  <si>
    <t>PEDRO LEONARDO PUMAREJO ROMERO</t>
  </si>
  <si>
    <t>CAMILO ENRIQUE AYALA RAMIREZ</t>
  </si>
  <si>
    <t>JUAN DAVID NIÑO</t>
  </si>
  <si>
    <t>LUCIA HERNANDEZ LAGOS</t>
  </si>
  <si>
    <t>DIEGO ANDRES MUNAR BACA</t>
  </si>
  <si>
    <t>MAURICIO ANDRES LOPEZ LOPEZ</t>
  </si>
  <si>
    <t>CAROL VANESSA AGUILAR BARRERA</t>
  </si>
  <si>
    <t>LUIS CARLOS CALIXTO RODRIGUEZ</t>
  </si>
  <si>
    <t>GENNY LIZZETH PAZ MOTTA</t>
  </si>
  <si>
    <t>CONTINENTAL DE PARTES Y SERVICIOS SAS</t>
  </si>
  <si>
    <t>MARIA ISABEL SALAZAR</t>
  </si>
  <si>
    <t>DIEGO ANDRES CABRERA MERCHAN</t>
  </si>
  <si>
    <t>MARIO FERNANDO GOMEZ OTALORA</t>
  </si>
  <si>
    <t>Novasoft SAS</t>
  </si>
  <si>
    <t>OLGA MILENA CARANTONIO MARQUEZ</t>
  </si>
  <si>
    <t xml:space="preserve"> DIANA VALENTINA GUZMAN DORADO</t>
  </si>
  <si>
    <t>JOSE JAIME ROYS TIRADO</t>
  </si>
  <si>
    <t>ANA MARIA TORRES CASTRO</t>
  </si>
  <si>
    <t>LURAMY VERONICA RAMIREZ</t>
  </si>
  <si>
    <t>YORGELIS MARIA SALAS OSPINO</t>
  </si>
  <si>
    <t>ALVARO JAVIER MOLINA DIAZ</t>
  </si>
  <si>
    <t>HENRRY DE JESUS RODRIGUEZ MARTINEZ</t>
  </si>
  <si>
    <t>JORGE NAIN RUIZ DITTA</t>
  </si>
  <si>
    <t xml:space="preserve"> VERONICA DURANA ANGEL</t>
  </si>
  <si>
    <t>PAULA VIVIANA SALINAS PAEZ</t>
  </si>
  <si>
    <t>CIRO ANDRES CAMPO CRUZ</t>
  </si>
  <si>
    <t>6 Pagos</t>
  </si>
  <si>
    <t>PRESTAR SERVICIOS PROFESIONALES PARA APOYAR LA GESTIÓN EN LA PLANEACIÓN, SEGUIMIENTO Y CONTROL DE LOS PROYECTOS ESTRATÉGICOS DE TECNOLOGÍA DE LA SUPERINTENDENCIA DEL SUBSIDIO FAMILIAR. (ID: OTIC-227-1)</t>
  </si>
  <si>
    <t>PRESTAR SERVICIOS PROFESIONALES A LA SDEEEP PARA APOYAR EL DESARROLLO DE INSTRUMENTOS METODOLÓGICOS QUE CONTRIBUYAN CON EL SEGUIMIENTO A LOS PLANES, PROGRAMAS Y PROYECTOS DE INVERSIÓN PARA OBRAS O SERVICIOS SOCIALES PRESENTADOS A TRAVÉS DEL BANCO DE PROYECTOS DE INVERSIÓN DEL SUBSIDIO FAMILIAR. (ID: SDEEEP-338)</t>
  </si>
  <si>
    <t>PRESTAR LOS SERVICIOS PROFESIONALES PARA APOYAR EL PROCESO DE IVC EN LOS ASPECTOS SERVICIOS SOCIALES QUE PRESTAN LAS CAJAS DE COMPENSACIÓN FAMILIAR DE ACUERDO A LO ESTABLECIDO EN LOS PLANES Y PROYECTOS ESTRATÉGICOS DE LA SUPERINTENDENCIA DELEGADA PARA LA GESTIÓN. (ID: SDG-304).</t>
  </si>
  <si>
    <t>SAMIA ISABEL JALAL LOPEZ</t>
  </si>
  <si>
    <t>PRESTAR SERVICIOS DE APOYO A LA GESTIÓN PARA LA ATENCIÓN DE INCIDENTES Y EVENTOS DEL SISTEMA DE INFORMACIÓN SIMON DE LA SUPERINTENDENCIA DEL SUBSIDIO FAMILIAR. (ID: OTIC-200-1).</t>
  </si>
  <si>
    <t>PRESTAR SERVICIOS DE APOYO A LA GESTIÓN PARA LA ATENCIÓN DE INCIDENTES Y EVENTOS DEL SISTEMA DE INFORMACIÓN SIMON DE LA SUPERINTENDENCIA DEL SUBSIDIO FAMILIAR. (ID: OTIC-193-1).</t>
  </si>
  <si>
    <t>GRUPO TIEDOT SAS</t>
  </si>
  <si>
    <t>Contratar la prestación del servicio de depósito, almacenamiento, custodia, conservación y préstamo del archivo de la superintendencia del subsidio familiar, incluido su transporte y consulta en caso de ser necesario.</t>
  </si>
  <si>
    <t>427-2022</t>
  </si>
  <si>
    <t>408-2022</t>
  </si>
  <si>
    <t>MENSAJERIA 472</t>
  </si>
  <si>
    <t>Prestar el servicio de correo urbano, nacional e internacional para la Superintendencia del Subsidio Familiar.</t>
  </si>
  <si>
    <t>PRESTAR SERVICIOS PROFESIONALES PARA APOYAR LA GESTIÓN DE LA INFRAESTRUCTURA TECNOLÓGICA DE LA ENTIDAD DISPUESTA EN NUBE PÚBLICA Y EN PRIVADA DE LA SUPERINTENDENCIA DEL SUBSIDIO FAMILIAR. (ID: OTIC-178-1).</t>
  </si>
  <si>
    <t>PRESTAR SERVICIOS DE APOYO A LA GESTIÓN DEL GRUPO DE GESTIÓN DEL TALENTO HUMANO EN LAS ACTIVIDADES SECRETARIALES Y DE FORTALECIMIENTO A LA GESTION DOCUMENTAL DE CONFORMIDAD CON LA NORMATIVIDAD VIGENTE (ID: TH 156).</t>
  </si>
  <si>
    <t>PRESTAR SERVICIOS PROFESIONALES PARA BRINDAR ACOMPAÑAMIENTO METODOLÓGICO EN LAS ACTIVIDADES RELACIONADAS CON EL COMPONENTE DE PARTICIPACIÓN CIUDADANA LIDERADOS POR LA OFICINA ASESORA DE PLANEACIÓN DE LA SUPERINTENDENCIA DEL SUBSIDIO FAMILIAR. (ID: OAP-218)</t>
  </si>
  <si>
    <t>(ID: SG-306) PRESTAR SERVICIOS PROFESIONALES PARA APOYAR LOS ASUNTOS DISCIPLINARIOS, ASÍ COMO PROYECCIÓN DE ACTOS ADMINISTRATIVOS Y OTROS A CARGO DEL GRUPO DE CONTROL DISCIPLINARIO INTERNO DE LA SUPERINTENDENCIA DEL SUBSIDIO FAMILIAR.</t>
  </si>
  <si>
    <t>PRESTAR LOS SERVICIOS PROFESIONALES PARA ADELANTAR EL SEGUIMIENTO Y CONTROL DEL PROCESO GESTIÓN DE SISTEMAS DE INFORMACIÓN; EN EL MARCO DEL SISTEMA DE GESTIÓN DE CALIDAD DE LA ENTIDAD, Y DE LOS PROYECTOS DE USO Y APROPIACIÓN (ID: OTIC-202).</t>
  </si>
  <si>
    <t>PRESTAR SERVICIOS PROFESIONALES A LA SDEEEP PARA APOYAR EL DISEÑO E IMPLEMENTACIÓN DEL LABORATORIO DE INNOVACIÓN DEL SISTEMA DEL SUBSIDIO FAMILIAR QUE PERMITA AUMENTAR EL DESARROLLO DE PROCESOS DE INNOVACIÓN APLICADOS AL MEJORAMIENTO DEL SISTEMA DEL SUBSIDIO FAMILIAR. (ID: SDEEEP-259).</t>
  </si>
  <si>
    <t>PRESTAR LOS SERVICIOS PROFESIONALES PARA APOYAR LA ELABORACIÓN DE INDICADORES FINANCIEROS QUE PERMITAN MODERNIZAR LA GESTIÓN DE IVC POR PARTE DE LA SUPERINTENDENCIA DELEGADA PARA LA GESTIÓN. (ID:SDG-298)</t>
  </si>
  <si>
    <t>PRESTAR EL SERVICIO DE RENOVACIÓN DE LICENCIAS DE MICROSTRATEGY, EL SOPORTE EN SITIO PARA ACTUALIZACIÓN DE REPORTES Y TABLEROS DE CONTROL EN LA PLATAFORMA (ID 264)</t>
  </si>
  <si>
    <t>PRESTAR SERVICIOS PROFESIONALES PARA APOYAR LAS ACTIVIDADES DE PLANEACIÓN ESTRATÉGICA DE LA ARQUITECTURA DE SISTEMAS DE INFORMACIÓN DE LA ENTIDAD DE LA SUPERINTENDENCIA DEL SUBSIDIO FAMILIAR. (ID: OTIC-231-1).</t>
  </si>
  <si>
    <t>PRESTAR LOS SERVICIOS PROFESIONALES PARA APOYAR EL COMPONENTE CONTABLE Y FINANCIERO DE LA OFICINA DE CONTROL INTERNO DE LA SUPERINTENDENCIA DEL SUBSIDIO FAMILIAR, EN LA EJECUCIÓN DEL PLAN ANUAL DE AUDITORIAS Y LA ELABORACIÓN Y SEGUIMIENTO DE INFORMES APROBADOS POR EL COMITE INSTITUCIONAL DE COORDINACIÓN DE CONTROL INTERNO. (ID: OCI-100-1).</t>
  </si>
  <si>
    <t>(ID: OCI-101-1) PRESTAR LOS SERVICIOS PROFESIONALES PARA APOYAR EL COMPONENTE DE GESTIÓN DE SISTEMAS DE INFORMACIÓN DE LA OFICINA DE CONTROL INTERNO DE LA SUPERINTENDENCIA DEL SUBSIDIO FAMILIAR, EN LA EJECUCIÓN DEL PLAN ANUAL DE AUDITORIAS Y LA ELABORACIÓN Y SEGUIMIENTO DE INFORMES APROBADOS POR EL COMITE INSTITUCIONAL DE COORDINACIÓN DE CONTROL INTERNO.</t>
  </si>
  <si>
    <t>PRESTAR SERVICIOS PROFESIONALES PARA BRINDAR ACOMPAÑAMIENTO EN EL ANÁLISIS, MODELAMIENTO Y DESARROLLO DE SOLUCIONES ANALÍTICAS EN LA SUPERINTENDENCIA DEL SUBSIDIO FAMILIAR. (ID: OTIC-177-1)</t>
  </si>
  <si>
    <t>PRESTAR LOS SERVICIOS PROFESIONALES EN EL PROCESO DE IVC QUE REALIZA LA SUPERINTENDENCIA DELEGADA PARA LA GESTIÓN EN LAS CAJAS DE COMPENSACIÓN FAMILIAR, EN EL MARCO DE LA MODERNIZACIÓN DE IVC DE LA SUPERINTENDENCIA DEL SUBSIDIO FAMILIAR. (ID: SDG-299)</t>
  </si>
  <si>
    <t>ADQUIRIR TÓNER DE IMPRESIÓN PARA LA SUPERINTENDENCIA DEL SUBSIDIO FAMILIAR. (ID: GGA-009)</t>
  </si>
  <si>
    <t>PRESTAR LOS SERVICIOS PROFESIONALES ESPECIALIZADOS A LA OFICINA ASESORA DE PLANEACIÓN EN LA ORIENTACIÓN Y EJECUCIÓN DE LAS ACTIVIDADES EN MATERIA PRECONTRACTUAL Y ACOMPAÑAR LA IMPLEMENTACIÓN DE LA DIMENSIÓN DE DIRECCIONAMIENTO ESTRATEGICO QUE GUIARÁ LA GESTIÓN DE LA ENTIDAD. (ID: OAP-094)</t>
  </si>
  <si>
    <t>PRESTAR SERVICIOS PROFESIONALES PARA APOYAR JURÍDICA Y CONTRACTUALMENTE A LA OFICINA DE PROTECCIÓN AL USUARIO DE LA SUPERINTENDENCIA DEL SUBSIDIO FAMILIAR. (ID: OPU-112)</t>
  </si>
  <si>
    <t>PRESTAR SERVICIOS PROFESIONALES PARA BRINDAR APOYO EN LAS ACTIVIDADES DE FORTALECIMIENTO DE LA POLÍTICA DE ATENCIÓN AL CIUDADANO CON BASE EN EL MODELO INTEGRADO DE PLANEACIÓN Y GESTIÓN [MIPG] DE LA SUPERINTENDENCIA DEL SUBSIDIO FAMILIAR. (ID: OPU-127).</t>
  </si>
  <si>
    <t>(ID: GGTH-344) PRESTAR SERVICIOS PROFESIONALES PARA COORDINAR Y APOYAR EN LA ALIMENTACIÓN DE LA INFORMACIÓN EN LA HERRAMIENTA DE NOMINA DE LA SUPERINTENDENCIA DEL SUBSIDIO FAMILIAR.</t>
  </si>
  <si>
    <t>PRESTAR SERVICIOS PROFESIONALES CON EL FIN DE BRINDAR APOYO AL GRUPO DE GESTIÓN DEL TALENTO HUMANO EN LA PROYECCIÓN Y LIQUIDACIÓN DE LA NÓMINA DE LA SUPERINTENDENCIA DEL SUBSIDIO FAMILIAR DE CONFORMIDAD CON LA NORMATIVIDAD LEGAL VIGENTE. (ID: GGTH-161-1).</t>
  </si>
  <si>
    <t>PRESTAR SERVICIOS PROFESIONALES COMO DESARROLLO DE SOFTWARE PARA LA ATENCIÓN DE EVENTOS DEL SISTEMA DE INFORMACIÓN SIMON (ID: OTIC-174-1).</t>
  </si>
  <si>
    <t>PRESTAR LOS SERVICIOS PROFESIONALES PARA APOYAR EN EL ANÁLISIS Y ATENCIÓN DE PROCESOS JUDICIALES Y DEL COMITÉ DE CONCILIACION Y DEFENSA JUDICIAL, ASÍ COMO EN LA ESTRUCTURACIÓN DE CONCEPTOS Y ACTUALIZACIÓN DE LA RELATORÍA JURÍDICA A CARGO DE LA OFICINA ASESORA JURÍDICA. (ID: OAJ-184)</t>
  </si>
  <si>
    <t>PRESTAR LOS SERVICIOS PROFESIONALES PARA BRINDAR APOYO EN LAS ACTIVIDADES DE PLANEACIÓN ESTRATÉGICA DE LA ARQUITECTURA DE INFORMACIÓN DE LA SUPERINTENDENCIA DEL SUBSIDIO FAMILIAR.ID: OTIC-203-1</t>
  </si>
  <si>
    <t>(ID: SDEEEP-248) PRESTAR SERVICIOS DE APOYO A LA GESTIÓN PARA LA EJECUCIÓN DE ACTIVIDADES ASISTENCIALES Y OPERATIVAS EN LA SDEEEP Y REALIZAR EL MANEJO Y CONTROL DE INFORMACIÓN EN LOS DIFERENTES SISTEMAS ELECTRONICOS DEL BANCO DE PROYECTO, RECOPILACIÓN Y ORGANIZACIÓN DE LA INFORMACIÓN Y GENERACIÓN DE LOS REPORTES REQUERIDOS AL AREA.</t>
  </si>
  <si>
    <t>PRESTAR SERVICIOS PROFESIONALES PARA APOYAR LA GESTIÓN DE BASES DE DATOS DE LOS SISTEMAS DE INFORMACIÓN DE LA SUPERINTENDENCIA DEL SUBSIDIO FAMILIAR (ID: OTIC-181-1).</t>
  </si>
  <si>
    <t>PRESTAR SERVICIOS PARA INCORPORAR LA AUTENTICIDAD ELECTRÓNICA EN COMUNICACIONES ENTRANTES Y SALIENTES DE LA ENTIDAD. (ID: OTIC-213)</t>
  </si>
  <si>
    <t>(ID: GGC-208) PRESTAR SERVICIOS PROFESIONALES JURÍDICOS PARA APOYAR AL GRUPO DE GESTIÓN CONTRACTUAL, EN LOS TRAMITES REQUERIDOS EN SUS ETAPAS PRECONTRACTUAL, CONTRACTUAL Y POSCONTRACTUAL, ADEMÁS DE LAS RESPUESTAS A LOS REQUERIMIENTOS QUE LLEGUEN LOS ENTES DE CONTROL INTERNOS Y EXTERNOS.</t>
  </si>
  <si>
    <t>PRESTAR SERVICIOS PROFESIONALES PARA ACOMPAÑAR EL FORTALECIMIENTO Y OPTIMIZACIÓN DE LOS PROCESOS DE GESTIÓN Y SEGUIMIENTO DE LOS RECURSOS ASIGNADOS A LOS FONDOS DE LEY ADMINISTRADOS POR LAS CAJAS DE COMPENSACIÓN FAMILIAR. (ID: SDG- 278)</t>
  </si>
  <si>
    <t>PRESTAR SERVICIOS PROFESIONALES PARA A POYAR EL ANÁLISIS, ESTRUCTURACIÓN Y DESARROLLO DE SOLUCIONES ANALÍTICAS BASADAS EN DATOS DE LA SUPERINTENDENCIA DEL SUBSIDIO FAMILIAR. (ID: OTIC-180-1).</t>
  </si>
  <si>
    <t>PRESTAR SERVICIOS PROFESIONALES COMO DESARROLLADOR PARA APOYAR LAS AUTOMATIZACIONES EN LA PLATAFORMA DE GESTIÓN DE PROCESOS BPM DE LA SUPERINTENDENCIA DEL SUBSIDIO FAMILIAR.ID: OTIC-182-1</t>
  </si>
  <si>
    <t>PRESTAR SERVICIOS PROFESIONALES PARA BRINDAR APOYO A LAS ACTIVIDADES DE PLANEACIÓN ESTRATÉGICA DE LA ARQUITECTURA, FORMULACIÓN DEL PETI Y LA ESTRUCTURACIÓN Y DESARROLLO DE LOS EJERCICIOS DE ARQUITECTURA EMPRESARIAL DE LA SUBSIDIO FAMILIAR. (ID: OTIC-229-1)</t>
  </si>
  <si>
    <t>CONTRATAR LOS SERVICIOS PROFESIONALES PARA APOYAR ACTIVIDADES DE PLANEACIÓN, SEGUIMIENTO Y CONTROL A LOS PROYECTOS DE INFRAESTRUCTURA TECNOLÓGICA Y SEGURIDAD DE LA INFORMACIÓN. (ID: OTIC-350)</t>
  </si>
  <si>
    <t>PRESTAR SERVICIOS PROFESIONALES BRINDANDO SOPORTE Y ACOMPAÑAMIENTO AL PROCESO INTEGRAL DE PAGOS, REGISTRO Y ANÁLISIS DE LA INFORMACIÓN FINANCIERA AL GRUPO DE GESTIÓN FINANCIERA DE LA SSF. (ID: GGF-353).</t>
  </si>
  <si>
    <t>NATHALY RODRIGUEZ PERAZA</t>
  </si>
  <si>
    <t>ALEXANDER QUINTERO TORRES</t>
  </si>
  <si>
    <t>KIMBERLY LORENA PINZON RODRIGUEZ</t>
  </si>
  <si>
    <t>IVAN DARIO CELY BARAJAS</t>
  </si>
  <si>
    <t>BAYARDO BUSTOS LINARES</t>
  </si>
  <si>
    <t>LATINO BI CONSULTING S.A.S.</t>
  </si>
  <si>
    <t>NIDIA JOHANNA PRODIGO SARMIENTO</t>
  </si>
  <si>
    <t>JOSE IGNACIO CHARRIS SALAS</t>
  </si>
  <si>
    <t>HECTOR GARCIA GONZALEZ (TONER)</t>
  </si>
  <si>
    <t>EDWARD DAVID MENESES RAMOS</t>
  </si>
  <si>
    <t>MARTIN ANDRES BERNIER PELAEZ</t>
  </si>
  <si>
    <t>SOFIA ACOSTA VALLEJO</t>
  </si>
  <si>
    <t>YENNY MABEL SÁNCHEZ PUENTES</t>
  </si>
  <si>
    <t>JUAN SEBASTIAN MASMELA ZAPATA</t>
  </si>
  <si>
    <t>LINA JIMENA GARCIA MONROY</t>
  </si>
  <si>
    <t>DIDIER SNEIDER CUERVO GOMEZ</t>
  </si>
  <si>
    <t>CAMERFIRMA COLOMBIA SAS</t>
  </si>
  <si>
    <t>JENNY MILENA COLLAZOS CARO</t>
  </si>
  <si>
    <t>EDWIN JOHAN BEDOYA BULLA</t>
  </si>
  <si>
    <t>ANGEL LEONARDO MARTINEZ MARTINEZ</t>
  </si>
  <si>
    <t>JOSE ERNESTO LOZANO CRUZ</t>
  </si>
  <si>
    <t>DARLYS KATRIN CORREA CARDOZO</t>
  </si>
  <si>
    <t>JUAN SEBASTIAN GIRALDO BERMUDEZ</t>
  </si>
  <si>
    <t>JAIME TORRES BARRERA</t>
  </si>
  <si>
    <t>PRESTAR LOS SERVICIOS PROFESIONALES ESPECIALIZADOS PARA EL APOYO EN LA REVISIÓN DE LOS DIFERENTES TRAMITES PROPIOS DE LA GESTIÓN JURÍDICA Y TEMAS JURÍDICOS QUE REQUIERAN Y SE ORIGINEN DE LOS GRUPOS DE TRABAJO A CARGO DE LA SECRETARIA GENERAL (ID: SG-207)</t>
  </si>
  <si>
    <t>PRESTAR SERVICIOS PROFESIONALES PARA APOYAR JURÍDICAMENTE AL GRUPO DE GESTIÓN DE TALENTO HUMANO EN LA ESTRUCTURACIÓN, SEGUIMIENTO Y ANALISIS DE LOS PROCESOS CONTRACTUALES A CARGO DEL ÁREA, ASÍ COMO EN LA PROYECCIÓN DE ACTOS ADMINISTRATIVOS. (ID: GGTH-158).</t>
  </si>
  <si>
    <t>PRESTAR LOS SERVICIOS PROFESIONALES PARA APOYAR LA PROYECCIÓN DE ANÁLISIS Y ESTRATEGIAS FINANCIERAS CONTABLES EN EL PROCESO DE IVC DE LOS FONDOS DE LEY Y LOS PROYECTOS DE INVERSIÓN EJECUTADOS POR LAS CAJAS DE COMPENSACIÓN FAMILIAR. (ID: SDG-294)</t>
  </si>
  <si>
    <t xml:space="preserve">
NINI JOHANNA SANDOVAL JAIME</t>
  </si>
  <si>
    <t>PRESTAR SERVICIOS PROFESIONALES PARA APOYAR LA ACTUALIZACIÓN DE LOS PROCESOS Y PROCEDIMIENTOS A CARGO DEL GRUPO DE GESTIÓN DEL TALENTO HUMANO, ASI COMO BRINDAR APOYO JURÍDICO AL ÁREA (ID: GGTH-164).</t>
  </si>
  <si>
    <t>MAURICIO JAVIER CRIOLLO ROMERO</t>
  </si>
  <si>
    <t xml:space="preserve">PRESTAR LOS SERVICIOS PROFESIONALES EN EL ACOMPAÑAMIENTO FINANCIERO EN LA ESTRUCTURACIÓN Y DELIMITACIÓN DE INDICADORES EN EL MARCO DE LA MODERNIZACIÓN DE IVC DE LA SUPERINTENDENCIA DEL SUBSIDIO FAMILIAR. (ID: SDG-302)	</t>
  </si>
  <si>
    <t>COLSOF S.A.S</t>
  </si>
  <si>
    <t>JORGE MARIO AGUIRRE ERAZO</t>
  </si>
  <si>
    <t xml:space="preserve"> JAIRO DELGADO</t>
  </si>
  <si>
    <t>LUIS EDGARDO DURAN CARRILLO</t>
  </si>
  <si>
    <t>MARIA CAMILA SALAZAR AVILA</t>
  </si>
  <si>
    <t>MARCELA HAYDEE AGUILAR RODRIGUEZ</t>
  </si>
  <si>
    <t>JOSE DARIO PRIETO SIERRA</t>
  </si>
  <si>
    <t xml:space="preserve"> ANDRES EDUARDO ROLDAN MARTINEZ</t>
  </si>
  <si>
    <t>JOSE LEONARDO CARRILLO CORTES</t>
  </si>
  <si>
    <t>PEDRO ANTONIO LOPEZ GUTIERREZ</t>
  </si>
  <si>
    <t xml:space="preserve">DIEGO ARMANDO FAJARDO PINZON	</t>
  </si>
  <si>
    <t>DIEGO ALEXANDER BAGETT OSPINA</t>
  </si>
  <si>
    <t>EFRAIN DIAZ MEJIA</t>
  </si>
  <si>
    <t>JULIAN BERNARDO SALINAS DIAZ</t>
  </si>
  <si>
    <t>CONTROLES EMPRESARIALES SAS</t>
  </si>
  <si>
    <t>PAOLA PATRICIA LUNA ROSSO</t>
  </si>
  <si>
    <t>INTER GROUP LTDA</t>
  </si>
  <si>
    <t>CARMENCITA JEMIMA JALAL LOPEZ</t>
  </si>
  <si>
    <t>ALEJANDRO CASTELLANOS QUINTERO</t>
  </si>
  <si>
    <t>CARLOS MAURICIO MURILLO RODRIGUEZ</t>
  </si>
  <si>
    <t>MIGUEL ANGEL MEDINA CHICUAZUQUE</t>
  </si>
  <si>
    <t>CARMEN AYLET RUBIO TORRES</t>
  </si>
  <si>
    <t>JORDAN HESNEIDER ARDILA VARGAS</t>
  </si>
  <si>
    <t>ANDREA DEL PILAR ALVAREZ CAMARGO</t>
  </si>
  <si>
    <t>JUAN PABLO ESTUPIÑAN MORA</t>
  </si>
  <si>
    <t xml:space="preserve"> DANIEL QUINTERO RODRIGUEZ</t>
  </si>
  <si>
    <t xml:space="preserve"> JULIAN SILVA PUENTES</t>
  </si>
  <si>
    <t>RAFAEL ANDRES TOVAR MANJARRES</t>
  </si>
  <si>
    <t>JOSE DAVID HERNANDEZ MANRIQUE</t>
  </si>
  <si>
    <t>JHON MANUEL PARRA MORA</t>
  </si>
  <si>
    <t>ALBERTO EMILIO GUTIERREZ CHARRIS</t>
  </si>
  <si>
    <t>MERSI YULEBI SILVA GOMEZ</t>
  </si>
  <si>
    <t>SANDRA MILENA BERNAL SALAZAR</t>
  </si>
  <si>
    <t>PAOLA ANDREA GOMEZ DIAZ</t>
  </si>
  <si>
    <t>DIEGO ALEXANDER LOPEZ NARANJO</t>
  </si>
  <si>
    <t>VANESSA STHEFANNIA GOMEZ GOMEZ</t>
  </si>
  <si>
    <t>DAIRO DE JESUS AYALA MUÑOZ</t>
  </si>
  <si>
    <t>JOSUE DAVID SOTO MONTENEGRO</t>
  </si>
  <si>
    <t>ADRIANA KARINA ORTIZ YELA</t>
  </si>
  <si>
    <t xml:space="preserve"> FRANKILN MIGUEL TRIVIÑO	</t>
  </si>
  <si>
    <t xml:space="preserve"> JUAN MANUEL PACHON MORALES</t>
  </si>
  <si>
    <t>JAIRO AEXANDER BASANTE BURBANO</t>
  </si>
  <si>
    <t>RAUL ALBERTO RUIZ GARCIA</t>
  </si>
  <si>
    <t xml:space="preserve"> 9 0 1 4 2 8 1 9 6 </t>
  </si>
  <si>
    <t>PRESTAR SERVICIOS DE APOYO AL SOPORTE DE SERVICIOS TÉCNICOS DE TI EN LA SUPERINTENDENCIA DEL SUBSIDIO FAMILIAR. (ID: OTIC-349)</t>
  </si>
  <si>
    <t>OTIC.ID OTIC-212 ADQUIRIR LA RENOVACIÓN Y SOPORTE DEL HARDWARE Y HERRAMIENTAS TECNOLÓGICAS QUE SOPORTAN LA INFRAESTRUCTURA FÍSICA DE LA SUPERINTENDENCIA DEL SUBSIDIO FAMILIAR.</t>
  </si>
  <si>
    <t>PRESTAR SERVICIOS PROFESIONALES PARA EL ANÁLISIS CONTABLE Y TRÁMITES PROPIOS DE LA SUPERINTENDENCIA DELEGADA PARA LA RESPONSABILIDAD ADMINISTRATIVA Y LAS MEDIDAS ESPECIALES, EN EL MARCO DEL PROYECTO "MODERNIZACIÓN DE LA INSPECCIÓN, VIGILANCIA Y CONTROL DE LA SUPERINTENDENCIA DEL SUBSIDIO FAMILIAR. (ID: SDRAME-081)</t>
  </si>
  <si>
    <t>PRESTAR LOS SERVICIOS PROFESIONALES PARA EL ACOMPAÑAMIENTO EN LA ESTRUCTURACIÓN DE PROCEDIMIENTOS INTERNOS QUE OPTIMICEN EL EJERCICIO DE IVC POR PARTE DE LA SUPERINTENDENCIA DELEGADA PARA LA GESTIÓN.ID: SDG-300</t>
  </si>
  <si>
    <t>PRESTAR SERVICIOS PROFESIONALES EN LA REALIZACIÓN Y REVISIÓN DE ASPECTOS FINANCIEROS, SOCIALES Y FONDOS DE LEY EN EL MARCO DE LA MODERNIZACIÓN DE IVC DE LA SUPERINTENDENCIA DEL SUBSIDIO FAMILIAR. (ID: SDG-339)</t>
  </si>
  <si>
    <t>PRESTAR SERVICIOS PROFESIONALES PARA APOYAR LA FORMULACIÓN Y EJECUCIÓN DE ESTRATEGIAS DIRIGIDAS A LA VERIFICACIÓN DE LINEAMIENTOS JURÍDICOS DE LOS SERVICIOS, PROGRAMAS SOCIALES Y OPERACIONES QUE REALIZAN LAS CAJAS DE COMPENSACIÓN FAMILIAR. (ID: SDG277)</t>
  </si>
  <si>
    <t>PRESTAR SERVICIOS PROFESIONALES EN EL ACOMPAÑAMIENTO JURÍDICO Y LEGAL EN LA REVISIÓN DE LOS MODELOS Y PRODUCTOS DEL MODERNIZACIÓN DE IVC DE LA SUPERINTENDENCIA DEL SUBSIDIO FAMILIAR. (ID: SDG-295)</t>
  </si>
  <si>
    <t xml:space="preserve">Prestar los servicios profesionales para apoyar el proceso de IVC en los aspectos legales y jurídicos que se realizan en las cajas de compensación familiar de acuerdo a lo establecido en los planes y proyectos estratégicos de la </t>
  </si>
  <si>
    <t>PRESTAR SERVICIOS PROFESIONALES PARA SUSTANCIAR CONTABLE Y FINANCIERAMENTE LOS HECHOS OBJETO DE AVERIGUACIONES PRELIMINARES Y PROCESOS ADMINISTRATIVOS SANCIONATORIOS, ASÍ COMO REVISIÓN DE TRÁMITES Y ASUNTOS EN SU ÁREA TEMÁTICA, EN EL MARCO DEL PROCESO DE CONTROL LEGAL A CAJAS DE COMPENSACIÓN FAMILIAR. (ID: SDRAME-058)</t>
  </si>
  <si>
    <t>PRESTAR SERVICIOS PROFESIONALES PARA APOYAR EL DESARROLLO DE INDICADORES QUE PERMITAN EVALUAR LOS RIESGOS DEL SISTEMA DEL SUBSIDIO FAMILIAR EN EL PROCESO DE IVC. (ID: SDG-281).</t>
  </si>
  <si>
    <t>PRESTAR SERVICIOS PROFESIONALES COMO DESARROLLO DE SOFTWARE PARA EL APOYO A LA INTEGRACIÓN DE LOS SISTEMAS DE INFORMACIÓN DE LA SUPERINTENDENCIA DEL SUBSIDIO FAMILIAR (ID: OTIC-176-1).</t>
  </si>
  <si>
    <t>PRESTAR SERVICIOS PROFESIONALES PARA APOYAR LAS ACTIVIDADES RELACIONADAS CON ARQUITECTURA DE SEGURIDAD DE LA INFORMACIÓN, CONTINUIDAD DEL NEGOCIO Y ACTIVOS DE INFORMACIÓN DE LA SUPERINTENDENCIA DEL SUBSIDIO FAMILIAR. (ID: OTIC-219)</t>
  </si>
  <si>
    <t>PRESTAR LOS SERVICIOS PROFESIONALES PARA APOYAR EL COMPONENTE FINANCIERO Y CONTRACTUAL EN EL MARCO DE LA MODERNIZACIÓN DE IVC DE LA SUPERINTENDENCIA DEL SUBSIDIO FAMILIAR (ID: SDG-279-1)</t>
  </si>
  <si>
    <t>PRESTAR SERVICIOS PROFESIONALES COMO DESARROLLOR PARA APOYAR EL DESARROLLO DE SOFTWARE Y SOPORTE A LA INTEROPERABILIDAD E INTEGRACIÓN ENTRE SISTEMAS DE INFORMACIÓN DE LA SUPERINTENDENCIA DEL SUBSIDIO FAMILIAR. ID: OTIC-185-1</t>
  </si>
  <si>
    <t>PRESTAR SERVICIOS PROFESIONALES PARA ACOMPAÑAR LAS ESTRATEGIAS CONCERTADAS CON COMUNICACIONES PARA FORTALECER LOS CANALES DE ATENCIÓN Y EL RELACIONAMIENTO CON EL CIUDADANO. (ID: OPU-046)</t>
  </si>
  <si>
    <t>PRESTAR SERVICIOS PROFESIONALES PARA APOYAR LA IMPLEMENTACIÓN DE SERVICIOS DE INFORMACIÓN EN UNA ARQUITECTURA ORIENTADA SERVICIOS DE LA SUBSIDIO FAMILIAR.ID: OTIC-230-1</t>
  </si>
  <si>
    <t>PRESTAR SERVICIOS PROFESIONALES PARA APOYAR LA IMPLEMENTACIÓN DE LA POLÍTICA DE GOBIERNO DIGITAL Y DE LA ESTRATEGIA DE USO Y APROPIACIÓN DE TI DE LA SUPERINTENDENCIA DEL SUBSIDIO FAMILIAR. (ID: OTIC-189-1)
Relacionar con otro proceso	SíNo</t>
  </si>
  <si>
    <t>RENOVAR LA SUSCRIPCIÓN DEL LICENCIAMIENTO DE LOS SERVICIOS DE MICROSOFT 365 Y SERVICIOS CONEXOS - ASSURANCE PARA LA SUPERINTENDENCIA DEL SUBSIDIO FAMILIAR. (ID: OTIC-209)</t>
  </si>
  <si>
    <t>PRESTAR SERVICIOS PROFESIONALES EN EL ACOMPAÑAMIENTO DE LA REALIZACIÓN, REVISIÓN Y VERIFICACIÓN DE LA APLICACIÓN DE LOS LINEAMIENTOS VIGENTES DEL SISTEMA DEL SUBSIDIO FAMILIAR, EN EL MARCO DE LA MODERNIZACIÓN DE IVC DE LA SUPERINTENDENCIA DEL SUBSIDIO FAMILIAR. (ID: SDG-283).</t>
  </si>
  <si>
    <t>(ID: GGA-013) PRESTACIÓN DEL SERVICIO FÍSICO DE VIGILANCIA Y SEGURIDAD PRIVADA, PARA LA SEDE DE LA SUPERINTENDENCIA DEL SUBSIDIO FAMILIAR</t>
  </si>
  <si>
    <t>PRESTAR SERVICIOS PROFESIONALES PARA ADELANTAR LAS ACTIVIDADES JURÍDICAS RELACIONADAS CON EL PROCESO DE CONTROL LEGAL EFECTUADO A LA CAJAS DE COMPENSACIÓN FAMILIAR. (ID: SDRAME-361).</t>
  </si>
  <si>
    <t>PRESTAR SERVICIOS PROFESIONALES JURÍDICOS QUE SE REQUIERAN EN EL MARCO DE LA FUNCIÓN DE CONTROL LEGAL REALIZADO POR LA SUPERINTENDENCIA DELEGADA PARA LA RESPONSABILIDAD ADMINISTRATIVA Y LAS MEDIDAS ESPECIALES, ASÍ COMO EN LO RELACIONADO CON PROCESOS DE CONTRATACIÓN QUE SE REQUIERAN EN CUMPLIMIENTO DEL PROYECTO. (ID: SDRAME-346).</t>
  </si>
  <si>
    <t>PRESTAR SERVICIOS DE APOYO A LA GESTIÓN EN TEMAS ADMINISTRATIVOS Y SEGUIMIENTO CONTABLE EN EL MARCO DEL PROCESO DE CONTROL LEGAL QUE ADELANTA LA DELEGADA PARA LA RESPONSABILIDAD ADMINISTRATIVA Y LAS MEDIDAS ESPECIALES, EN CUMPLIMIENTO DE LAS ACTIVIDADES ESTABLECIDAS EN EL PROYECTO "MODERNIZACIÓN DE LA INSPECCIÓN, VIGILANCIA Y CONTROL DE LA SUPERINTENDENCIA DEL SUBSIDIO FAMILIAR". (ID: SDRAME-345)</t>
  </si>
  <si>
    <t>PRESTAR LOS SERVICIOS DE APOYO A LA GESTIÓN PARA LA IMPLEMENTACIÓN DE CURSOS EN MODALIDAD ELEARNING DE ACUERDO CON EL PLAN DE USOY APROPIACIÓN QUE SE ADELANTA EN LA OFICINA DE LA SUPERINTENDENCIA DEL SUBSIDIO FAMILIAR (ID:OTIC-216-1)</t>
  </si>
  <si>
    <t>(ID: OCI-360) PRESTAR LOS SERVICIOS PROFESIONALES PARA APOYAR EL COMPONENTE JURÍDICO DE LA OFICINA DE CONTROL INTERNO DE LA SUPERINTENDENCIA DEL SUBSIDIO FAMILIAR, EN LA EJECUCIÓN DEL PLAN ANUAL DE AUDITORIAS Y LA ELABORACIÓN Y SEGUIMIENTO DE INFORMES APROBADOS POR EL COMITE INSTITUCIONAL DE COORDINACIÓN DE CONTROL INTERNO.</t>
  </si>
  <si>
    <t>(ID: GGC-319) PRESTAR LOS SERVICIOS DE APOYO A LA GESTIÓN EN EL GRUPO DE GESTIÓN CONTRACTUAL DE LA SUPERINTENDENCIA DEL SUBSIDIO FAMILIAR, APOYANDO LA ORGANIZACIÓN, DIGITALIZACIÓN Y CONSOLIDACIÓN DE LA DOCUMENTACIÓN ALLEGADA AL GRUPO.</t>
  </si>
  <si>
    <t>PRESTAR LOS SERVICIOS PROFESIONALES APOYANDO LA INSPECCIÓN Y VIGILANCIA A LAS GESTIONES QUE ADELANTEN LAS CAJAS DE COMPENSACIÓN FAMILIAR EN EL CUMPLIMIENTO DE LAS FUNCIONES DE LA DELEGADA PARA LA GESTIÓN. (ID: SDG-045)</t>
  </si>
  <si>
    <t xml:space="preserve">	(ID: OAJ-370) PRESTAR SERVICIOS PROFESIONALES ACTUANDO COMO ENLACE INSTITUCIONAL ENTRE LA SUPERINTENDENCIA DEL SUBSIDIO FAMILIAR Y EL CONGRESO DE LA REPÚBLICA, MINISTERIOS Y DEMÁS ENTIDADES PÚBLICAS, BRINDANDO APOYO JURÍDICO EN TEMAS LEGISLATIVOS Y CONSTITUCIONALES DE INTERÉS DE LA SUPERINTENDENCIA DEL SUBSIDIO FAMILIAR.</t>
  </si>
  <si>
    <t>PRESTAR SERVICIOS PROFESIONALES PARA APOYAR LA ESTRUCTURACIÓN DE PROCESOS DE TECNOLOGÍAS DE LA INFORMACIÓN Y LAS COMUNICACIONES DE LA SUPERINTENDENCIA DEL SUBSIDIO FAMILIAR. (ID: OTIC-369)</t>
  </si>
  <si>
    <t>PRESTAR SERVICIOS PROFESIONALES JURIDICOS PARA APOYAR LA FUNCIÓN DE CONTROL LEGAL REALIZADO POR LA SUPERINTENDENCIA DELEGADA PARA LA RESPOSABILIDAD ADMINISTRATIVA Y LAS MEDIDAS ESPECIALES EN EL MARCO DEL PROYECTO "MODERNIZACIÓN DE LA INSPECCIÓN, VIGILANCIA Y CONTROL DE LA SUPERINTENDENCIA DEL SUBSIDIO FAMILIAR" (ID: SDRAME 063)</t>
  </si>
  <si>
    <t>PRESTAR LOS SERVICIOS PROFESIONALES DE APOYO EN LA MISIONALIDAD DE LA SUPERINTENDENCIA DEL SUBSIDIO FAMILIAR, ESPECIFICAMENTE EN LA INSPECCIÓN Y VIGILANCIA A LAS CAJAS DE COMPENSACIÓN FAMILIAR. (ID: SDG-365)</t>
  </si>
  <si>
    <t>PRESTAR LOS SERVICIOS PROFESIONALES PARA REALIZAR ACOMPAÑAMIENTO EN LA FORMULACIÓN Y ANALISIS DE LOS INDICADORES DE LA ENTIDAD Y ASÍ CONTAR CON HERRAMIENTAS PARA LA EVALUACIÓN DE LA GESTIÓN Y LOS RESULTADOS, DE ACUERDO CON LO ESTABLECIDO POR EL DEPARTAMENTO ADMINISTRATIVO DE LA FUNCIÓN PÚBLICA. (ID: OAP-089)</t>
  </si>
  <si>
    <t>PRESTAR SERVICIOS PROFESIONALES A LA OFICINA ASESORA DE PLANEACIÓN PARA APOYAR LAS ACTIVIDADES RELACIONADAS CON LA PLANEACIÓN INSTITUCIONAL Y TEMAS PRESUPUESTALES ATENDIENDO LOS LINEAMIENTOS DEL SISTEMA DE GESTIÓN DE CALIDAD DE LA ENTIDAD. (ID: OAP-356)</t>
  </si>
  <si>
    <t>PRESTAR SERVICIOS PROFESIONALES PARA APOYAR LA ANALÍTICA Y GESTIÓN DE DATOS PARA EL SEGUIMIENTO Y EVALUACIÓN DE INDICADORES QUE REPORTAN LAS CAJAS DE COMPENSACIÓN FAMILIAR PARA EL FORTALECIMIENTO DEL RELACIONAMIENTO CON LA CIUDADANÍA. (ID: OPU-114)</t>
  </si>
  <si>
    <t>PRESTAR SERVICIOS DE APOYO A LA GESTIÓN PARA EL GRUPO DE GESTIÓN DOCUMENTAL Y NOTIFICACIONES EN EL DESARROLLO DE LAS ACTIVIDADES OPERATIVAS Y ADMINISTRATIVAS DE ACUERDO A LAS NECESIDADES DE LA DEPENDENCIA (ID: GGD-026)</t>
  </si>
  <si>
    <t>PRESTAR SERVICIOS PROFESIONALES EN LA IMPLEMENTACIÓN DE LAS ACTIVIDADES DEFINIDAS EN EL MODELO INTEGRADO DE PLANEACIÓN Y GESTIÓN MIPG, Y SEGUIMIENTO DE LOS INSTRUMENTOS DE PLANIFICACIÓN Y APOYO AL DESPACHO DE LA OFICINA ASESORA DE PLANEACIÓN. (ID: OAP-354)</t>
  </si>
  <si>
    <t>PRESTAR SERVICIOS PROFESIONALES COMO DESARROLLADOR PARA EL PROCESO DE AUTOMATIZACIONES DE LA PLATAFORMA DE GESTIÓN INSTITUCIONAL DE LA SUPERINTENDENCIA DEL SUBSIDIO FAMILIAR. (ID: OTIC-220-1)</t>
  </si>
  <si>
    <t>PRESTAR SERVICIOS PROFESIONALES PARA EL ANÁLISIS JURÍDICO, REVISIÓN Y SUSTANCIACIÓN DE TRÁMITES Y ASUNTOS PROPIOS DE LA DELEGADA PARA LA RESPONSABILIDAD ADMINISTRATIVA Y LAS MEDIDAS ESPECIALES, EN EL MARCO DEL PROCESO DE CONTROL LEGAL A CAJAS DE COMPENSACIÓN FAMILIAR. (ID: SDRAME-359).</t>
  </si>
  <si>
    <t>PRESTAR LOS SERVICIOS PROFESIONALES PARA LA GESTIÓN TÉCNICA DE LOS PROYECTOS DE AUTOMATIZACIÓN DE PROCESOS DE LA ENTIDAD EN EL MARCO DE LOS EJERCICIOS DE ARQUITECTURA EMPRESARIAL. (ID: OTIC-206)</t>
  </si>
  <si>
    <t>PRESTAR LOS SERVICIOS PROFESIONALES PARA APOYAR EL PROCESO DE IVC EN LOS ASPECTOS LEGALES Y JURÍDICOS QUE SE REALIZAN EN LAS CAJAS DE COMPENSACIÓN FAMILIAR DE ACUERDO A LO ESTABLECIDO EN LOS PLANES Y PROYECTOS ESTRATÉGICOS DE LA SUPERINTENDENCIA DELEGADA PARA LA GESTIÓN. (ID: SDG - 311)</t>
  </si>
  <si>
    <t>PRESTAR SERVICIOS PROFESIONALES PARA BRINDAR ACOMPAÑAMIENTO EN LA GESTIÓN DE LA PLATAFORMA DE GESTIÓN INSTITUCIONAL Y DESARROLLO DE AUTOMATIZACIONES DE PROCESOS DE LA SUPERINTENDENCIA DEL SUBSIDIO FAMILIAR. (ID: OTIC-190-1)</t>
  </si>
  <si>
    <t>PRESTAR SERVICIOS PROFESIONALES PARA REALIZAR LA REVISIÓN, SUSTANCIACIÓN Y DEMÁS ACTUACIONES JURÍDICAS QUE SE REQUIERAN EN EL MARCO DEL PROCESO DE CONTROL LEGAL REALIZADO POR LA SUPERINTENDENCIA DELEGADA PARA LA RESPONSABILIDAD ADMINISTRATIVA Y LAS MEDIDAS ESPECIALES, A LAS CAJAS DE COMPENSACIÓN FAMILIAR EN DEESARROLLO DEL PROYECTO "MODERNIZACIÓN DE LA INSPECCIÓN, VIGILANCIA Y CONTROL DE LA SUPERINTENDENCIA DEL SUBSIDIO FAMILIAR. (ID: SDRAME-347)</t>
  </si>
  <si>
    <t>PRESTAR LOS SERVICIOS PROFESIONALES PARA APOYAR EL PROCESO DE IVC, ANALIZANDO EL IMPACTO DE LOS SERVICIOS SOCIALES QUE PRESTAN LAS CAJAS DE COMPENSACIÓN FAMILIAR. (ID: SDG-286)</t>
  </si>
  <si>
    <t>PRESTAR SERVICIOS PROFESIONALES BRINDANDO APOYO A LAS ACTIVIDADES ADMINISTRATIVAS Y FUNCIONAMIENTO QUE SE REALIZAN DENTRO DE LOS PROCESOS A CARGO DEL GRUPO DE GESTIÓN ADMINISTRATIVA DE LA SECRETARÍA GENERAL" GGA (ID: GGA-351)</t>
  </si>
  <si>
    <t>PRESTAR LOS SERVICIOS PROFESIONALES DE ANÁLISIS FINANCIEROS Y CONTABLES DETALLADOS DE LAS CAJAS DE COMPENSACIÓN FAMILIAR, FORTALECIENDO LAS FUNCIONES DE INSPECCIÓN Y VIGILANCIA DEL CUMPLIMIENTO DE NORMAS CONTABLES, PRESUPUESTALES Y DE SOLVENCIA. (ID: SGD 364)</t>
  </si>
  <si>
    <t>PRESTAR LOS SERVICIOS PROFESIONALES APOYANDO LA ELABORACIÓN DE INDICADORES DE RIESGOS AMBIENTALES ASOCIADOS A LOS SERVICIOS, PLANES Y PROGRAMAS SOCIALES PRESTADOS POR LAS CAJAS DE COMPENSACIÓN FAMILIAR, ASÍ COMO EN LA EVALUACIÓN DE SU FUNCIONAMIENTO, CALIDAD Y CUMPLIMIENTO NORMATIVO (ID: SDG-363)</t>
  </si>
  <si>
    <t xml:space="preserve">	(ID: GGTH-342) PRESTAR APOYO EN LA ALIMENTACIÓN DE LA INFORMACIÓN EN LA HERRAMIENTA DE NOMINA JUNTO CON LA ACTUALIZACIÓN DE LAS NOVEDADES ADMINISTRATIVAS EN HISTORIAS LABORALES</t>
  </si>
  <si>
    <t>PRESTAR SERVICIOS PROFESIONALES PARA BRINDAR ACOMPAÑAMIENTO EN LA ANALITICA DE DATOS, AUTOMATIZACIÓN DE PROCESOS, ENTRENAMIENTOS DE BOT, USO DE IA DESARROLLO DE APP, SERVICIOS DE NUBE E IMPLEMENTACIÓN DE HERRAMIENTAS TECNOLÓGICAS PARA EL MEJORAMIENTO DE CANALES DE ATENCIÓN EN LA OFICINA DE PROTECCIÓN AL USUARIO (ID: OPU-109)</t>
  </si>
  <si>
    <t>50.487.167 COP</t>
  </si>
  <si>
    <t>$7.210.000</t>
  </si>
  <si>
    <t>N/A</t>
  </si>
  <si>
    <t>N.A.</t>
  </si>
  <si>
    <t>$8.755.000</t>
  </si>
  <si>
    <t>$6.180.000</t>
  </si>
  <si>
    <t>$3.708.000</t>
  </si>
  <si>
    <t>EXTINTORES FIREXT S.A.S</t>
  </si>
  <si>
    <t>MANTENIMIENTO Y RECARGA DE LOS EXTINTORES DE LA SUPERINTENDENCIA DEL SUBSIDIO FAMILIAR; ASÍ COMO LA ADQUISICIÓN DE SOPORTES Y SEÑALIZACIÓN PARA LOS MISMOS. (ID: GGA-010)</t>
  </si>
  <si>
    <t>HERNANDO JOSE DAVID TORRES</t>
  </si>
  <si>
    <t>HINCAPIE DURANGO ANDRES FELIPE</t>
  </si>
  <si>
    <t>FRAGOZO MUEGUES DAILYS LIZZETH</t>
  </si>
  <si>
    <t>(ID: GGA-020) ADQUISIÓN E INSTALACION DE LUMINARIAS LED PARA LAS OFICINAS DE LA SUPERINTENDENCIA DEL SUBSIDIO FAMILIAR.</t>
  </si>
  <si>
    <t>(ID: GGD-027) PRESTAR LOS SERVICIOS PROFESIONALES PARA APOYAR LA GESTIÓN DOCUMENTAL Y NOTIFICACIONES DE LA SUPERINTENDENCIA DEL SUBSIDIO FAMILIAR.</t>
  </si>
  <si>
    <t xml:space="preserve">CONTRATAR UNA SOLUCIÓN INTEGRAL QUE GARANTICE LA PARTICIPACIÓN DE LA DELEGACIÓN DEPORTIVA DE LA SUPERINTENDENCIA DEL SUBSIDIO FAMILIAR EN LOS JUEGOS INTERCAJAS DE LA CONFRATERNIDAD 2025 (ID: GGTH-171)  </t>
  </si>
  <si>
    <t>PRESTAR SERVICIOS PROFESIONALES PARA APOYAR EL DESARROLLO EN LA MULTIAPLICACIÓN SOFTEXPERT EXCELLENCE SUITE Y/O LAS APLICACIONES CMR ADQUIRIDAS POR LA SUPERSUBSIDIO. (ID: OPU-110)</t>
  </si>
  <si>
    <t>PRESTAR SERVICIOS DE APOYO A LA GESTIÓN PARA ADELANTAR ACTIVIDADES RELACIONADAS CON EL PROCESO DE GESTIÓN DE SISTEMAS DE INFORMACIÓN DE LA OFICINA DE LAS TECNOLOGÍAS DE INFOMACIÓN Y COMUNICACIONES SUPERINTENDENCIA DEL SUBSIDIO FAMILIAR. (ID: OTIC-198).</t>
  </si>
  <si>
    <t>PRESTAR SERVICIOS PROFESIONALES AL GRUPO DE GESTIÓN DEL TALENTO HUMANO EN LA ELABORACIÓN DE INFORMES, ASI COMO, BRINDAR APOYO EN LA IMPLEMENTACIÓN Y SEGUIMIENTO DEL PIFC (ID: GGTH-160)</t>
  </si>
  <si>
    <t>(ID: GGA-352) PRESTACIÓN DE SERVICIOS PROFESIONALES CON EL FIN DE DAR APOYO ADMINISTRATIVOS Y REQUERIMIENTOS DE LAS DIFERENTES ÁREAS DE LA SUPERINTENDENCIA DEL SUBSIDIO FAMILAR.</t>
  </si>
  <si>
    <t>PRESTAR SERVICIOS PROFESIONALES EN EL OBJETO CONTRACTUAL DESPACHO PARA BRINDAR APOYO EN EL SEGUIMIENTO FINANCIERO Y CONTABLE DE LOS ASUNTOS QUE REQUIERA EL DESPACHO DE LA SUPERINTENDENCIA DEL SUBSIDIO FAMILIAR (ID: DESP-372)</t>
  </si>
  <si>
    <t>PRESTAR SERVICIOS PROFESIONALES PARA APOYAR A LA OFICINA DE PROTECCIÓN AL USUARIO EN EL CUMPLIMIENTO DE ÍNDICE DE TRANSPARENCIA ACTIVA (ITA) EN EL PORTAL CORPORATIVO (ID: OPU-362)</t>
  </si>
  <si>
    <t>PRESTAR LOS SERVICIOS PROFESIONALES PARA APOYAR EN LA PROYECCIÓN Y CONSTRUCIÓN DE INSTRUMENTOS Y/O DOCUMENTOS INSTITUCIONALES CORRESPONDIENTES A LAS ACTIVIDADES PROPIAS DEL GRUPO DE CONTROL DISICPLINARIO INTERNO. (ID: GCDI-373)</t>
  </si>
  <si>
    <t>(ID: GGTH-163) PRESTAR SERVICIOS DE APOYO A LA GESTIÓN EN LA REVISIÓN Y SEGUIMIENTO DE LOS TRAMITES CON DE LOS FUNCIONARIOS Y DEMAS CONDICIONES ADMINISTRATIVAS QUE REQUIERA EL GRUPO DEL TALENTO HUMANO DE LA SUPERINTENDENCIA DEL SUBSIDIO FAMILIAR.</t>
  </si>
  <si>
    <t>(ID: SDG-371) PI: MODERNIZACIÓN DE LA INSPECCIÓN, VIGILANCIA Y CONTROL DE LA SUPERINTENDENCIA DEL SUBSIDIO FAMILIAR. ACTIVIDAD: ELABORAR MODELOS ESTADÍSTICOS PARA MEJORAR EL SISTEMA DE SUPERVISIÓN FUERA DE SITIO. OBJETO: PRESTAR LOS SERVICIOS PROFESIONALES PARA EL ACOMPAÑAMIENTO EN LA PROYECCIÓN DEL ANÁLISIS DEL IMPACTO FINANCIERO Y OPERATIVO DE LOS SERVICIOS, PROGRAMAS SOCIALES Y OPERACIONES DESARROLLADAS POR LAS CAJAS DE COMPENSACIÓN FAMILIAR.</t>
  </si>
  <si>
    <t>(ID: SDG-296) PRESTAR SERVICIOS PROFESIONALES PARA APOYAR EL DESARROLLO DEL SISTEMA DE ALERTAS TEMPRANAS SIAT MEDIANTE UN MODELO ESTADISTICO PARA SU ADECUADO FUNCIONAMIENTO.</t>
  </si>
  <si>
    <t>PRESTAR SERVICIOS PROFESIONALES PARA APOYAR EL DESARROLLO EN LA MULTIAPLICACIÓN SOFTEXPERT EXCELLENCE SUITE Y/O LAS APLICACIONES CRM ADQUIRIDAS POR LA SUPERSUBSIDIO. (ID: OPU-110)</t>
  </si>
  <si>
    <t>(ID: OPU-379) PI: FORTALECIMIENTO DEL RELACIONAMIENTO CON LA CIUDADANÍA Y LOS GRUPOS DE VALOR DEL SISTEMA DEL SUBSIDIO FAMILIAR A NIVEL NACIONAL. ACTIVIDAD: 2.1.2. ENTREGABLES - NIVEL 1 - DOCUMENTO CON LA DESCRIPCIÓN DE PROCESOS, MÉTODOS Y HERRAMIENTAS. OBJETO: PRESTAR SERVICIOS PROFESIONALES CON CONOCIMIENTOS PARA DESARROLLAR PROCESOS Y PROCEDIMIENTOS QUE</t>
  </si>
  <si>
    <t>HAGAN USO DE LAS TECNOLOGÍAS DE LA INFORMACIÓN, A TRAVÉS DE LA INCORPORACIÓN DE ESQUEMAS DE MANEJO SEGURO DE LA INFORMACIÓN Y DE LA ALINEACIÓN CON LA ARQUITECTURA INSTITUCIONAL DE LA ENTIDAD A FIN DE</t>
  </si>
  <si>
    <t>APOYAR EL LOGRO DE LAS METAS Y OBJETIVOS DE LA RELACIÓN CON EL CIUDADANO.</t>
  </si>
  <si>
    <t>(ID: OPU-378) 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 OBJETO: APOYO A LA GESTIÓN A JEFE DE OFICINA DE PROTECCIÓN AL USUARIO PARA ACOMPAÑAR LA COORDINACIÓN DE LAS ACTIVIDADES Y PRESENCIA INSTITUCIONAL EN TERRITORIO NACIONAL.</t>
  </si>
  <si>
    <t>(ID: GGD-374) PRESTAR LOS SERVICIOS PROFESIONALES PARA APOYAR EN EL PROCESO DE LA NOTIFICACIÓN DE LOS DIFERENTES ACTOS ADMINISTRATIVOS EMITIDOS POR LA ENTIDAD</t>
  </si>
  <si>
    <t>(ID: OPU-390) 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 OBJETO: PRESTAR SERVICIOS PROFESIONALES PARA BRINDAR ASESORIA JURIDICA Y APOYO A LA SUPERVISIÒN DE LA OFICINA DE PROTECCION AL USUARIO Y PRESENCIA INSTITUCIONAL EN TERRITORIO NACIONAL.</t>
  </si>
  <si>
    <t>(ID: OAP-376) PI: IMPLEMENTACIÓN DEL MODELO DE PLANEACIÓN  Y GESTIÓN EN EL MARCO DE LA ARQUITECTURA EMPRESARIAL DE LA SUPERINTENDENCIA DEL SUBSIDIO FAMILIAR NACIONAL.  ACTIVIDAD: DESARROLLAR EL EJERCICIO DE ARQUITECTURA</t>
  </si>
  <si>
    <t>EMPRESARIAL (INCLUYE: ARQUITECTURA ACTUAL,  ARQUITECTURA. OBJETIVO, ARQUITECTURA ANÁLISIS DE  BRECHAS, DEFINICIÓN DEL MAPA DE RUTA). OBJETO: PRESTAR  SERVICIOS PROFESIONALES PARA EL DISEÑO E  IMPLEMENTACIÓN DE ESTRATEGIAS ORIENTADAS A LA AUTOMATIZACIÓN DE PROCESOS Y AL SEGUIMIENTO,</t>
  </si>
  <si>
    <t>FORTALECIMIENTO Y ARTICULACIÓN DEL COMPONENTE DE ARQUITECTURA EMPRESARIAL DE LA ENTIDAD.</t>
  </si>
  <si>
    <t>(ID: COM-148) PI: MODERNIZACIÓN DE LA INSPECCIÓN, VIGILANCIA Y CONTROL DE LA SUPERINTENDENCIA DEL SUBSIDIO FAMILIAR. ACTIVIDAD: IMPLEMENTAR UN PLAN ESTRATÉGICO DE COMUNICACIONES DE LA SSF EN CUMPLIMIENTO DE SU MISIONALIDAD. OBJETO: ADQUIRIR ELEMENTOS O INSUMOS PARA FOTOGRAFÍA Y PRODUCCIÓN DE VIDEOS QUE GARANTICEN CALIDAD Y EFECTIVIDAD EN LOS MENSAJES INSTITUCIONALES</t>
  </si>
  <si>
    <t>PRESTAR LOS SERVICIOS PROFESIONALES APOYANDO LA INSPECCIÓN Y VIGILANCIA CON RELACIÓN A LAS ACTIVIDADES QUE REALIZAN LAS CAJAS DE COMPENSACIÓN FAMILIAR EN EL CUMPLIMIENTO DE LA MISIONALIDAD DE LA SUPERSUBSIDIO. (ID: SDG-017).</t>
  </si>
  <si>
    <t>(ID: OTIC-188) PI: MEJORAMIENTO DEL ECOSISTEMA TECNOLÓGICO DE LA SUPERINTENDENCIA DEL SUBSIDIO FAMILIAR. NACIONAL. ACTIVIDAD: ACTUALIZAR LOS PROCESOS DE LA ENTIDAD EN EL MARCO DE LA TRANSFORMACIÓN DIGITAL. OBJETO: PRESTAR SERVICIOS PROFESIONALES COMO DESARROLLADOR PARA EL PROCESO DE AUTOMATIZACIONES DE LA PLATAFORMA DE GESTIÓN INSTITUCIONAL.</t>
  </si>
  <si>
    <t>NIT</t>
  </si>
  <si>
    <t>CÉDULA</t>
  </si>
  <si>
    <t>8 9 2 2 0 0 0 1 5</t>
  </si>
  <si>
    <t>9 0 0 8 3 4 7 1 9</t>
  </si>
  <si>
    <t>LRG SOLUTIONS S.A.S</t>
  </si>
  <si>
    <t>ERIKA JOHANA QUINTERO UREÑA</t>
  </si>
  <si>
    <t>CAJA DE COMPENSACION FAMILIAR DE SUCRE - COMFASUCRE</t>
  </si>
  <si>
    <t>CINDY LIBETH VELASQUEZ BARRERO</t>
  </si>
  <si>
    <t>DORIS CONSUELO TORRES ROJAS</t>
  </si>
  <si>
    <t>PAULA ANDREA GARCIA GONZALEZ</t>
  </si>
  <si>
    <t>ALVARO EDGAR PATIÑO ESCOBAR</t>
  </si>
  <si>
    <t>YISED XIOMARA NAVARRO QUINTERO</t>
  </si>
  <si>
    <t>MARIANA TORRES ESCARRAGA</t>
  </si>
  <si>
    <t>JOSE DANIEL PALACIOS RIVERA</t>
  </si>
  <si>
    <t>LUZ ADRIANA VERA BARRERO</t>
  </si>
  <si>
    <t>LUIS ADRIAN QUINTERO SARMIENTO</t>
  </si>
  <si>
    <t>DIANA COSTANZA GOMEZ NUÑEZ</t>
  </si>
  <si>
    <t>STEFANY ALEJANDRA RODRIGUEZ ESTUPIÑAN</t>
  </si>
  <si>
    <t>LUZ MARIA MOLINA TOBAR</t>
  </si>
  <si>
    <t>NATHALIA REYES PEREZ</t>
  </si>
  <si>
    <t>GENNY PAOLA AMBROSIO VILLEGAS</t>
  </si>
  <si>
    <t>DATASERVICIOS &amp; COMUNICACIONES S.A.S</t>
  </si>
  <si>
    <t>JAZMINY DE LA CHIQUINQUIRA DE LEON VILLALBA</t>
  </si>
  <si>
    <t>JAIRO AURELIO PATACON VEGA</t>
  </si>
  <si>
    <t>DISTRIBUCIONES ANDAQUI S.A.S</t>
  </si>
  <si>
    <t>VALERIA ANDREA FERRER CABRALES</t>
  </si>
  <si>
    <t>GUSTAVO ADOLFO ROLON OMAÑA</t>
  </si>
  <si>
    <t>INGENIERIA Y TELECOMUNICACIONES DE COLOMBIA S.A.S -INTELCOL S.A.S</t>
  </si>
  <si>
    <t>CONTRATAR LA REALIZACIÓN DE UN ESTUDIO DE TENDENCIAS FUTURAS BAJO LA METOLOGÍA DE PROSPECTIVA ESTADISTICA DEL SERVICIO DE CRÉDITO SOCIAL DE LAS CAJAS DE COMPENSACIÓN FAMILIAR [CCF] Y ESTUDIO DE TENDENCIAS DEMOGRÁFICAS QUE IMPACTAN AL SISTEMA</t>
  </si>
  <si>
    <t>(ID: GGTH-343) PRESTAR APOYO EN LA REVISIÓN DE LAS HISTORIAS LABORALES DE LOS SERVIDORES PÚBLICOS DE LA SUPERINTENDENCIA DEL SUBSIDIO FAMILIAR</t>
  </si>
  <si>
    <t>UNIÓN TEMPORAL CONSULTORES ASOCIADOS integrada por  a). CORPORACION TODOS POR LA PAZ CORPPAZ con NIT 900.964.003-3,</t>
  </si>
  <si>
    <t>BARBOSA SANCHEZ JUANITA MARCELA</t>
  </si>
  <si>
    <t>24/09/2025.</t>
  </si>
  <si>
    <t>CARLOS GERMAN CHAUCANES MONTENEGRO</t>
  </si>
  <si>
    <t>FREDY ALEXANDER PEÑA SANCHEZ</t>
  </si>
  <si>
    <t>ABEL JOSE HERNANDEZ MARTINEZ</t>
  </si>
  <si>
    <t>GILDARDO ANDRES VARGAS ACUÑA</t>
  </si>
  <si>
    <t>IHOVANNA GLENIA LEON VARGAS</t>
  </si>
  <si>
    <t>JOSE LUIS CESPEDES ZAMORA</t>
  </si>
  <si>
    <t>JOHN WILLIAM GANTIVA RODRIGUEZ</t>
  </si>
  <si>
    <t>JULIANA MEZA CORTES</t>
  </si>
  <si>
    <t>LILIANA BASTIDAS LINARES</t>
  </si>
  <si>
    <t>ALEXANDRA PARADA PARDO</t>
  </si>
  <si>
    <t>CLARA PATRICIA MUÑOZ JIMENEZ</t>
  </si>
  <si>
    <t>GOODS &amp; SERVICES CONSULTING S.A.S.</t>
  </si>
  <si>
    <t>INDIRA LILIANA CASTELLANOS VEGA</t>
  </si>
  <si>
    <t>JAVIER IGNACIO JATIVA GARCIA</t>
  </si>
  <si>
    <t>FRANK LEONARDO ORTIZ VELA</t>
  </si>
  <si>
    <t>JUAN ANDRES MEDINA CIFUENTES</t>
  </si>
  <si>
    <t>JULIAN CUERVO BUSTAMANTE</t>
  </si>
  <si>
    <t>GERARDO ANTONIO CASTAÑEDA ERAZO</t>
  </si>
  <si>
    <t>YEIMI MARCELA ABRIL RODRIGUEZ</t>
  </si>
  <si>
    <t>DELIA MERCEDES VALERA BARRAZA</t>
  </si>
  <si>
    <t>MARCO AURELIO CHICANGANA PAZ</t>
  </si>
  <si>
    <t>JOSE LUIS MORALES CHAPARRO</t>
  </si>
  <si>
    <t>DIEGO ARMANDO CARRION NEIRA</t>
  </si>
  <si>
    <t>ROTORR-MOTOR DE INNOVACIÓN</t>
  </si>
  <si>
    <t>ANGIE ANDREA CHAPARRO PARDO</t>
  </si>
  <si>
    <t>LAURA CAROLINA CASTELLANOS RODRIGUEZ</t>
  </si>
  <si>
    <t>LUCY ESMERALDA PAZ TRULLO</t>
  </si>
  <si>
    <t>JULIAN DAVID CASTELLANOS OLARTE</t>
  </si>
  <si>
    <t>SHISTHEY RAMIREZ ROSERO</t>
  </si>
  <si>
    <t>ALIX ADRIANA SANCHEZ AVILA</t>
  </si>
  <si>
    <t>PAOLA ALEJANDRA GUALTERO ESQUIVEL</t>
  </si>
  <si>
    <t>YARITZA ELENA SOTO ANGARITA</t>
  </si>
  <si>
    <t>HANNER LEANDRO MONGUI URREA</t>
  </si>
  <si>
    <t>INGRI TATIANA SANTA YONDAPIZ</t>
  </si>
  <si>
    <t>Aseguradora Solidaria de Colombia Entidad Cooperativa.</t>
  </si>
  <si>
    <t>LIBIA MARLEN ALBA LOPEZ</t>
  </si>
  <si>
    <t>MARIA PAULA RICO BAUTISTA</t>
  </si>
  <si>
    <t>S.O.S. SOLUCIONES DE OFICINA &amp; SUMINISTROS S.A.S.</t>
  </si>
  <si>
    <t>LINDA GRANDE VELANDIA</t>
  </si>
  <si>
    <t>YANETH CONSTANZA RINCON PULIDO</t>
  </si>
  <si>
    <t>JUAN ALBERTO TORRES TORRES</t>
  </si>
  <si>
    <t>JOHN SEBASTIAN ALEMAN PEÑA</t>
  </si>
  <si>
    <t>NINI YOVANA BECERRA PERDOMO</t>
  </si>
  <si>
    <t>PAOLA SLENDY ALBARRACIN QUINTERO</t>
  </si>
  <si>
    <t>PEDRO LEONARDO PUENTES SOLER</t>
  </si>
  <si>
    <t>VIANNEY PAOLA CANCELADO ORTIZ</t>
  </si>
  <si>
    <t>JUAN GABRIEL GARZON GUERRERO</t>
  </si>
  <si>
    <t>ERMEL ANTONIO VELASQUEZ MORENO</t>
  </si>
  <si>
    <t>MANUEL ANDRES CASTELLANOS SEPULVEDA</t>
  </si>
  <si>
    <t>ANDREA PAOLA APONTE RICARDO</t>
  </si>
  <si>
    <t>DANY ALEXANDER FONSECA SANABRIA</t>
  </si>
  <si>
    <t>CARLOS JULIO TAMIN VALENCIA</t>
  </si>
  <si>
    <t>JULIANA VALERIA CABRERA CORTÉS</t>
  </si>
  <si>
    <t>ANGELICA JOHANA DIAZ TORRES</t>
  </si>
  <si>
    <t>GRUPO MICROSISTEMAS COLOMBIA S.A.S.</t>
  </si>
  <si>
    <t>T&amp;S COMP TECNOLOGIA Y SERVICIOS S.A.S.</t>
  </si>
  <si>
    <t>VLADIMIR CARRILLO PALLARES</t>
  </si>
  <si>
    <t>CEDULA</t>
  </si>
  <si>
    <t>8 3 0 0 8 7 0 3 0</t>
  </si>
  <si>
    <t>(ID: OTIC-234) PI: MEJORAMIENTO DEL ECOSISTEMA TECNOLÓGICO DE LA SUPERINTENDENCIA DEL SUBSIDIO FAMILIAR. NACIONAL. ACTIVIDAD: REALIZAR LAS MEJORAS PARA EL ACCESO Y DISPONIBILIDAD DE LOS SERVICIOS DE TI Y LA TRANSFERENCIA DE CONOCIMIENTO. OBJETO: PRESTAR SERVICIOS PROFESIONALES PARA APOYAR LA IMPLEMENTACIÓN DE SERVICIOS DE INFORMACIÓN EN UNA ARQUITECTURA ORIENTADA SERVICIOS DE LA SUPERINTENDENCIA DEL SUBSIDIO FAMILIAR.</t>
  </si>
  <si>
    <t>(ID: SDEEEP-381) PI: MODERNIZACIÓN DE LA INSPECCIÓN, VIGILANCIA Y CONTROL DE LA SUPERINTENDENCIA DEL SUBSIDIO FAMILIAR. ACTIVIDAD: GENERAR LOS PRODUCTOS ESTADÍSTICOS ESTABLECIDOS EN EL PROCESO ESTRATÉGICO. OBJETO: PRESTAR SERVICIOS PROFESIONALES PARA APOYAR EN EL DISEÑO Y EJECUCIÓN DE LOS ANÁLISIS ECONÓMICOS Y SOCIALES RIGUROSOS PARA MEDIR EL IMPACTO DEL SUBSIDIO FAMILIAR Y APOYO EN EL ANÁLISIS DE LAS DINÁMICAS DEL MERCADO LABORAL</t>
  </si>
  <si>
    <t>(ID: OAJ-396) OBJETO: PRESTAR LOS SERVICIOS PROFESIONALES PARA APOYAR EL DESARROLLO DE LAS ACTIVIDADES DERIVADAS DEL PROYECTO DE INVERSIÓN DE IVC A CARGO DE LA OFICINA ASESORA JURÍDICA, ASÍ COMO EL APOYO A LA EJECUCIÓN DE LAS ACTIVIDADES JURÍDICAS INHERENTES DEL ÁREA. PI:MODERNIZACION DE LA INSPECCION, VIGILANCIA Y CONTROL DE LA SUPERINTENDENCIA DELSUBSIDIO FAMILIAR. NACIONAL</t>
  </si>
  <si>
    <t>(ID: SDEEEP-258) ) PI: MODERNIZACIÓN DE LA INSPECCIÓN, VIGILANCIA Y CONTROL DE LA SUPERINTENDENCIA DEL SUBSIDIO FAMILIAR. ACTIVIDAD: GENERAR LOS PRODUCTOS ESTADÍSTICOS ESTABLECIDOS EN EL PROCESO ESTRATÉGICO. OBJETO: PRESTAR SERVICIOS PROFESIONALES A LA SDEEEP PARA APOYAR EL DISEÑANDO, CONSTRUCCIÓN Y GESTIÓN DE LOS DATOS ESTADISTICOS REPORTADOS POR LAS CAJAS DE COMPENSACIÓN FAMILIAR Y LA INFRAESTRUCTURA NECESARIA PARA ALMACENARLOS Y PROCESARLOS.</t>
  </si>
  <si>
    <t>(ID: DES-393) PRESTAR SERVICIOS PROFESIONALES PARA EL APOYO EN ASUNTOS Y DOCUMENTOS JURÍDICOS QUE REQUIERA AL DESPACHO DE LA SUPERINTENDENCIA DE SUBSIDIO FAMILIAR.</t>
  </si>
  <si>
    <t xml:space="preserve">(ID: OTIC-409) PI:  MEJORAMIENTO DEL ECOSISTEMA  TECNOLÓGICO DE LA SUPERINTENDENCIA DEL SUBSIDIO  FAMILIAR. NACIONAL. ACTIVIDAD: REALIZAR MEJORAS DE LOS SISTEMAS DE INFORMACIÓN DE APOYO AL INSPECCIÓN VIGILANCIA Y CONTROL COMO PROPUESTA DE VALOR A LAS NECESIDADES DE LAS ÁREAS MISIONALES. OBJETO: PRESTAR SERVICIOS PROFESIONALES PARA EL APOYO EN LA FORMULACIÓN, REGISTRO, CONTROL Y SEGUIMIENTO DE RECURSOS FINANCIEROS DE LOS PROYECTOS DE LA OFICINA DE LAS TECNOLOGÍAS DE INFORMACIÓN Y COMUNICACIONES SUPERINTENDENCIA DEL SUBSIDIO FAMILIAR. </t>
  </si>
  <si>
    <t>(ID: OTIC-408) PI: MEJORAMIENTO DEL ECOSISTEMA TECNOLÓGICO DE LA SUPERINTENDENCIA DEL SUBSIDIO FAMILIAR. NACIONAL. ACTIVIDAD: REALIZAR MEJORAS DE LOS SISTEMAS DE INFORMACIÓN DE APOYO AL INSPECCIÓN VIGILANCIA Y CONTROL COMO PROPUESTA DE VALOR A LAS NECESIDADES DE LAS ÁREAS MISIONALES. OBJETO: PRESTAR LOS SERVICIOS PROFESIONALES A LA GESTIÓN DE LA OFICINA DE LAS TECNOLOGÍAS DE INFORMACIÓN Y COMUNICACIONES.</t>
  </si>
  <si>
    <t>(ID:OAP-401) PI: IMPLEMENTACIÓN DEL MODELO DE PLANEACIÓN Y GESTIÓN EN EL MARCO DE LA ARQUITECTURA EMPRESARIAL DE LA SUPERINTENDENCIA DEL SUBSIDIO FAMILIAR NACIONAL. ACTIVIDAD: ARTICULAR LA OPERACIÓN DE LOS SISTEMAS DE GESTIÓN CON LOS REQUISITOS DEL MODELO INTEGRADO DE PLANEACIÓN Y GESTIÓN.- ELABORAR DOCUMENTOS DE APOYO: GUÍAS, PLANES, MANUALES, MAPAS DE RIESGOS Y CARTILLAS QUE ORIENTEN LA LABOR DE LAS DEPENDENCIAS.- GENERAR LAS ESTRATEGIAS PARA EL MEJORAMIENTO DEL ÍNDICE DE DESEMPEÑO INSTITUCION</t>
  </si>
  <si>
    <t>(GCDI ID-397) PRESTAR SERVICIOS PROFESIONALES DE APOYO A LA GESTIÓN AL GRUPO DE CONTROL DISCIPLINARIO INTERNO EN LA REVISIÓN Y SUSTANCIACIÓN DE LOS PROCESOS DISCIPLINARIOS EN LA ETAPA DE INSTRUCCIÓN.</t>
  </si>
  <si>
    <t>(ID: GGA-021) PRESTAR SERVICIOS PARA REALIZAR EL DIAGNÓSTICO Y AVALÚO DEL PARQUE AUTOMOTOR DE PROPIEDAD DE LA SUPERINTENDENCIA DEL SUBSIDIO FAMILIAR CON EL FIN DE ADELANTAR EL PROCESO DEFINITIVO DE BAJAS.</t>
  </si>
  <si>
    <t>(ID: OAP-399) OBJETO: PRESTAR SERVICIOS PROFESIONALES A LA OFICINA ASESORA DE PLANEACIÓN EN EL SEGUIMIENTO AL PLAN ANUAL DE ADQUISICIONES Y TEMAS PRESUPUESTALES DE LA ENTIDAD. PI: IMPLEMENTACIÓN DEL MODELO DE PLANEACIÓN Y GESTIÓN EN EL MARCO DE LA ARQUITECTURA EMPRESARIAL DE LA SUPERINTENDENCIA DEL SUBSIDIO FAMILIAR NACIONAL</t>
  </si>
  <si>
    <t>(ID: OAP-398) OBJETO: PRESTAR SERVICIOS PROFESIONALES A LA OFICINA ASESORA DE PLANEACIÓN EN TEMAS RELACIONADOS CON EL SISTEMA DE ADMINISTRACIÓN DE RIESGOS Y FINANCIACIÓN DEL TERRORISMO SARLAFT. PI: IMPLEMENTACIÓN DEL MODELO DE PLANEACIÓN Y GESTIÓN EN EL MARCO DE LA ARQUITECTURA EMPRESARIAL DE LA SUPERINTENDENCIA DEL SUBSIDIO FAMILIAR NACIONA</t>
  </si>
  <si>
    <t>(ID: SDRAME-445) OBJETO: PRESTAR SERVICIOS PROFESIONALES PARA APOYAR JURIDICAMENTE A LA DELEGADA PARA LA RESPONSABILIDAD ADMINISTRATIVA Y LAS MEDIDAS ESPECIALES, EN EL MARCO DE LA GESTIÓN DE LA FUNCIÓN DE VIGILANCIA Y CONTROL LEGAL REALIZADO A LAS CAJAS DE COMPENSACIÓN FAMILIAR. PI: MODERNIZACIÓN DE LA INSPECCIÓN, VIGILANCIA Y CONTROL DE LA SUPERINTENDENCIA DEL SUBSIDIO FAMILIAR. ACTIVIDAD: REALIZAR AUDITORÍAS DE GESTIÓN DEL RIESGO DE ALERTAS TEMPRANAS.</t>
  </si>
  <si>
    <t>(ID: OTIC-407) OBJETO: APOYAR LA CONSTRUCCIÓN, PUBLICACIÓN Y EJECUCIÓN DEL PLAN ESTRATÉGICO DE TECNOLOGÍAS DE LA INFORMACIÓN - PETI DE ACUERDO CON LOS LINEAMIENTOS ESTABLECIDOS POR MINTIC Y LOS ACORDADOS A NIVEL SECTORIAL. PI: MEJORAMIENTO DEL ECOSISTEMA TECNOLÓGICO DE LA SUPERINTENDENCIA DEL SUBSIDIO FAMILIAR. NACIONAL. ACTIVIDAD: DESARROLLAR MODELO DE INTEROPERABILIDAD QUE PERMITA EL INTERCAMBIO DE INFORMACIÓN CON OTRAS FUENTES DE DATOS.</t>
  </si>
  <si>
    <t>(ID: OTIC-405) OBJETO: PRESTAR LOS SERVICIOS PROFESIONALES A LA OFICINA DE LAS TIC PARA ESTRUCTURACIÓN DE MIPG Y SU ARTICULACIÓN CON MARCO DE ARQUITECTURA EMPRESARIAL Y LA POLÍTICA DE GOBIERNO DIGITAL. PI: MEJORAMIENTO DEL ECOSISTEMA TECNOLÓGICO DE LA SUPERINTENDENCIA DEL SUBSIDIO FAMILIAR. NACIONAL. ACTIVIDAD: REALIZAR LAS MEJORAS PARA EL ACCESO Y DISPONIBILIDAD DE LOS SERVICIOS DE TI Y LA TRANSFERENCIA DE CONOCIMIENTO.</t>
  </si>
  <si>
    <t>(ID: SDG-416) OBJETO: PRESTAR LOS SERVICIOS PROFESIONALES PARA APOYAR EL PROCESO DE IVC DIRIGIDO A LAS CAJAS DE COMPENSACIÓN FAMILIAR DE LA SUPERINTENDENCIA DELEGADA PARA LA GESTIÓN.PI:MODERNIZACIÓN DE LA INSPECCIÓN, VIGILANCIA Y CONTROL DE LA SUPERINTENDENCIA DEL SUBSIDIO FAMILIAR. ACTIVIDAD: ELABORAR MODELOS ESTADÍSTICOS PARA MEJORAR EL SISTEMA DE SUPERVISIÓN FUERA DE SITIO.</t>
  </si>
  <si>
    <t>(ID: SDRAME-432) OBJETO: PRESTAR SERVICIOS PROFESIONALES PARA APOYAR A LA SUPERINTENDENCIA DELEGADA PARA LA RESPONSABILIDAD ADMINISTRATIVA Y LAS MEDIDAS ESPECIALES EN EL ANÁLISIS, REVISIÓN, EVALUACIÓN Y SEGUIMIENTO DE LA INFORMACIÓN CONTABLE Y PRESUPUESTAL EN EL MARCO DE LA GESTIÓN DE LA FUNCIÓN DE VIGILANCIA Y CONTROL LEGAL REALIZADO A LAS CAJAS DE COMPENSACIÓN FAMILIAR CON MEDIDA CAUTELAR. PI: MODERNIZACIÓN DE LA INSPECCIÓN, VIGILANCIA Y CONTROL DE LA SUPERINTENDENCIA DEL SUBSIDIO FAMILIAR. AC</t>
  </si>
  <si>
    <t>(ID: SDEEEP-382) OBJETO: PRESTAR SERVICIOS PROFESIONALES PARA APOYAR LA DISPONIBILIDAD, CALIDAD E INTEGRIDAD DE LA INFORMACIÓN QUE SOPORTA LOS ANÁLISIS DEL OBSERVATORIO DE LA DELEGADA PARA ESTUDIOS ESPECIALES Y EVALUACIÓN DE PROYECTOS. PI: MODERNIZACIÓN DE LA INSPECCIÓN, VIGILANCIA Y CONTROL DE LA SUPERINTENDENCIA DEL SUBSIDIO FAMILIAR. ACTIVIDAD: GENERAR LOS PRODUCTOS ESTADÍSTICOS ESTABLECIDOS EN EL PROCESO ESTRATÉGICO</t>
  </si>
  <si>
    <t>(ID: GGF-153) PRESTAR LOS SERVICIOS PROFESIONALES ESPECIALIZADOS AL GGF, CON EL FIN DE BRINDAR APOYO EN LOS ASPECTOS CONTABLES, PAGADURÍA Y CUANDO SE REQUIERA DE TIPO PRESUPUESTAL, DE CONFORMIDAD CON LOS LINEAMIENTOS DADOS POR LOS ENTES Y LAS NORMAS QUE RIGEN LA MATERIA.</t>
  </si>
  <si>
    <t>(ID: GGA-004) ADQUIRIR LOS SEGUROS OBLIGATORIOS DE TRÁNSITO [SOAT] PARA EL PARQUE AUTOMOTOR DE LA SUPERINTENDENCIA DEL SUBSIDIO FAMILIAR GGA</t>
  </si>
  <si>
    <t>(ID: GGTH-377) ADQUISICIÓN IMPRESORA DE CARNETS INSTITUCIONALES, INSUMOS DE IMPRESIÓN, CINTAS Y PORTA CARNET</t>
  </si>
  <si>
    <t>(ID: SDRAME-443) PRESTAR SERVICIOS PROFESIONALES PARA APOYAR LA REVISIÓN JURÍDICA DE LOS EXPEDIENTES Y ACTUACIONES ADELANTADAS EN EL MARCO DE LOS PROCESOS ADMINISTRATIVOS SANCIONATORIOS, ASÍ COMO LA SUSTANCIACIÓN A CARGO DE LA SUPERINTENDENCIA DELEGADA PARA LA RESPONSABILIDAD ADMINISTRATIVA Y LAS MEDIDAS ESPECIALES, EN EL EJERCICIO DE LA FUNCIÓN DE CONTROL LEGAL A LAS CAJAS DE COMPENSACIÓN FAMILIAR. PI: MODERNIZACIÓN DE LA INSPECCIÓN, VIGILANCIA Y CONTROL DE LA SUPERINTENDENCIA DEL SUBSIDIO FAMI</t>
  </si>
  <si>
    <t>$4.017.000</t>
  </si>
  <si>
    <t xml:space="preserve"> $ 36.554.700,00 </t>
  </si>
  <si>
    <t>$5.665.000</t>
  </si>
  <si>
    <t>$4.635.000</t>
  </si>
  <si>
    <t>$4.017.015</t>
  </si>
  <si>
    <t>N.A</t>
  </si>
  <si>
    <t>$3.300.000</t>
  </si>
  <si>
    <t>(ID: OAP-357) PI: IMPLEMENTACIÓN DEL MODELO DE PLANEACIÓN  Y GESTIÓN EN EL MARCO DE LA ARQUITECTURA EMPRESARIAL DE LA SUPERINTENDENCIA DEL SUBSIDIO FAMILIAR NACIONAL. ACTIVIDAD: ELABORAR DOCUMENTOS DE APOYO: GUÍAS, PLANES, MANUALES, MAPAS DE RIESGOS Y CARTILLAS QUE ORIENTEN LA LABOR DE LAS DEPENDENCIAS.-IMPLEMENTAR HERRAMIENTAS QUE GARANTICEN LA PARTICIPACIÓN CIUDADANA Y PROMUEVAN EL CONTROL SOCIAL.-DESARROLLAR EL EJERCICIO DE ARQUITECTURA EMPRESARIAL [INCLUYE: ARQUITECTURA ACTUAL, ARQUITECTURA OBJETIVO, 
ARQUITECTURA ANÁLISIS DE BRECHAS, DEFINICIÓN DEL MAPA DE RUTA]. OBJETO: PRESTAR SERVICIOS PROFESIONALES EN EL SEGUIMIENTO Y EJECUCIÓN DE LOS PLANES DE TRABAJO PARA EL FORTALECIMIENTO INSTITUCIONAL DE LA OFICINA ASESORA DE PLANEACIÓN EN EL MARCO DEL MIPG, SISTEMA DE GESTIÓN DE CALIDAD Y ARQUITECTURA EMPRESARIAL DE LA ENTIDAD.</t>
  </si>
  <si>
    <t xml:space="preserve">	(ID: OAP-355), OBJETO: PRESTAR SERVICIOS PROFESIONALES EN LA IMPLEMENTACIÓN, FORTALECIMIENTO Y SEGUIMIENTO DE LA POLÍTICA DE PROTECCIÓN DE DATOS PERSONALES DE LA ENTIDAD. PI: IMPLEMENTACIÓN DEL MODELO DE PLANEACIÓN Y GESTIÓN EN EL MARCO DE LA ARQUITECTURA EMPRESARIAL DE LA SUPERINTENDENCIA DEL SUBSIDIO FAMILIAR NACIONAL.</t>
  </si>
  <si>
    <t xml:space="preserve">(ID: OPU-411) 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 
OBJETO: PRESTAR SERVICIOS PROFESIONALES ESPECIALIZADOS PARA OPTIMIZAR LA RESPUESTA A LOS CIUDADANOS MEDIANTE LA IMPLEMENTACIÓN DE UNA BIBLIOTECA UNIFICADA DE RESPUESTAS FRECUENTES, ESTANDARIZANDO LA INFORMACIÓN Y MEJORANDO EL ATRIBUTO DE SEGURIDAD JURÍDICA EN LA INTERACCIÓN CON LA CIUDADANÍA. </t>
  </si>
  <si>
    <t>(ID: OTIC-406) PI: IMPLEMENTACIÓN DEL MODELO DE PLANEACIÓN  Y GESTIÓN EN EL MARCO DE LA ARQUITECTURA EMPRESARIAL DE LA SUPERINTENDENCIA DEL SUBSIDIO FAMILIAR NACIONAL.  ACTIVIDAD: DESARROLLAR EL EJERCICIO DE ARQUITECTURA EMPRESARIAL INCLUYE: ARQUITECTURA ACTUAL, ARQUITECTURA OBJETIVO, ARQUITECTURA ANÁLISIS DE 
BRECHAS, DEFINICIÓN DEL MAPA DE RUTA]. OBJETO: PRESTAR LOS SERVICIOS PROFESIONALES PARA APOYAR LA IMPLEMENTACIÓN DE LOS MODELOS MAE, GGTI Y MGPTI CON BASE EN EL MARCO DE ARQUITECTURA MRAE VIGENTE</t>
  </si>
  <si>
    <t xml:space="preserve">	(ID: SDG-415) OBJETO: PRESTAR LOS SERVICIOS PROFESIONALES PARA APOYAR JURIDICAMENTE LA INSPECCIÓN Y VIGILANCIA DEL PROCESO DE IVC A LAS CAJAS DE COMPENSACIÓN FAMILIAR CUMPLIENDO LA MISIONALIDAD DE LA SUPERINTENDENCIA. PI: MODERNIZACIÓN DE LA INSPECCIÓN, VIGILANCIA Y CONTROL DE LA SUPERINTENDENCIA DEL SUBSIDIO FAMILIAR. ACTIVIDAD: ELABORAR MODELOS ESTADÍSTICOS PARA MEJORAR EL SISTEMA DE SUPERVISIÓN FUERA DE SITIO.</t>
  </si>
  <si>
    <t>(ID: SDRAME-392)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</si>
  <si>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OAJ-394) PRESTAR LOS SERVICIOS PROFESIONALES PARA APOYAR LA GESTIÓN DE LA OFICINA ASESORA JURÍDICA EN LAS DENUNCIAS INSTAURADAS ANTE LA FISCALIA GENERAL DE LA NACIÓN Y DEMÁS ORGANOS DE CONTROL, AL IGUAL QUE LAS DEMÁS ACCIONES MISIONALES DEL ÁREA.</t>
  </si>
  <si>
    <t>(ID: OPU-435) OBJETO: PRESTAR SERVICIOS PROFESIONALES PARA GENERAR DOCUMENTO DE TÉCNICAS DE PROMOCION DE LA PARTICIPACION CIUDADANA PARALOS SERVIDORES PUBLICOS Y DECALOGO PARA LA PROMOCION DEL CONTROL SOCIAL DE LA SUPERSUBSIDIO.) PI: IMPLEMENTACIÓN DEL MODELO DE PLANEACIÓN Y GESTIÓN EN EL MARCO DE LA ARQUITECTURA EMPRESARIAL DE LA SUPERINTENDENCIA DEL SUBSIDIO FAMILIAR NACIONAL. ACTIVIDAD: IMPLEMENTAR HERRAMIENTAS QUE GARANTICEN LA PARTICIPACIÓN CIUDADANA Y PROMUEVAN EL CONTROL SOCIAL.</t>
  </si>
  <si>
    <t>(ID: SDRAME-425)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</si>
  <si>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SDRAME-426)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</si>
  <si>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 xml:space="preserve">	(ID: OTIC-410) OBJETO: PRESTAR SERVICIOS PROFESIONALES DE APOYO Y ACOMPAÑAMIENTO EN PROCESOS DE CONTRATACIÓN Y CONSULTAS JURÍDICAS RELACIONADAS CON PROYECTOS DE LA OFICINA DE LAS TIC. PI: MEJORAMIENTO DEL ECOSISTEMA TECNOLÓGICO DE LA SUPERINTENDENCIA DEL SUBSIDIO FAMILIAR. NACIONAL. ACTIVIDAD: REALIZAR MEJORAS DE LOS SISTEMAS DE INFORMACIÓN DE APOYO AL INSPECCIÓN VIGILANCIA Y CONTROL COMO PROPUESTA DE VALOR A LAS NECESIDADES DE LAS ÁREAS MISIONALES.</t>
  </si>
  <si>
    <t>(ID: SDRAME-391) PI: MODERNIZACIÓN DE LA INSPECCIÓN, VIGILANCIA Y CONTROL DE LA SUPERINTENDENCIA DEL SUBSIDIO FAMILIAR. ACTIVIDAD: ORGANIZAR LA 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</si>
  <si>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SDRAME-440)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DECOMPENSACIÓN FAMILIAR, A CARGO DE LA DELEGADA PARA LA RESPONSABILIDAD ADMINISTRATIVA Y LAS MEDIDAS ESPECIALES.</t>
  </si>
  <si>
    <t>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</si>
  <si>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GGD-413) PI: IMPLEMENTACIÓN DEL MODELO DE PLANEACIÓN 
Y GESTIÓN EN EL MARCO DE LA ARQUITECTURA EMPRESARIAL DE 
LA SUPERINTENDENCIA DEL SUBSIDIO FAMILIAR NACIONAL. 
ACTIVIDAD ARTICULAR LA OPERACIÓN DE LOS SISTEMAS DE 
GESTIÓN CON LOS REQUISITOS DEL MODELO INTEGRADO DE 
PLANEACIÓN Y GESTIÓN. OBJETO: PRESTAR SERVICIOS 
PROFESIONALES PARA APOYAR EN LA ESTRUCTURACIÓN Y LOS 
TRAMITES PARA LOS PROCESOS CONTRACTUALES QUE 
REQUIERA EL GRUPO DE GESTIÓN DOCUMENTAL Y 
NOTIFICACIONES ASI COMO EL APOYO EN LA SUPERVISIÓN DE 
ESTOS CONTRATOS.</t>
  </si>
  <si>
    <t xml:space="preserve">	(ID: OAP-400) OBJETO: PRESTAR SERVICIOS PROFESIONALES A LA OFICINA ASESORA DE PLANEACIÓN EN EL PROCESO DE RENDICIÓN DE CUENTAS DE LA ENTIDAD Y LA POLÍTICA DE TRANSPARENCIA Y ACCESO A LA INFORMACIÓN PÚBLICA.I: IMPLEMENTACIÓN DEL MODELO DE PLANEACIÓN Y GESTIÓN EN EL MARCO DE LA ARQUITECTURA EMPRESARIAL DE LA SUPERINTENDENCIA DEL SUBSIDIO FAMILIAR NACIONAL.</t>
  </si>
  <si>
    <t>(ID: SDEEEP-438) PI: MODERNIZACIÓN DE LA INSPECCIÓN, VIGILANCIA Y CONTROL DE LA SUPERINTENDENCIA DEL SUBSIDIO FAMILIAR. ACTIVIDAD: DISEÑAR METODOLOGÍAS PARA 
HACER EVALUACIONES DE LOS PROGRAMAS Y PROYECTOS DE LAS CCF. OBJETO: PRESTAR SERVICIOS PROFESIONALESESPECIALIZADOS EN LA SUPERINTENDENCIA DELEGADA PARA 
ESTUDIOS ESPECIALES Y LA EVALUACIÓN DE PROYECTOS, PARA PROYECTOS DE LAS CAJAS DE COMPENSACIÓN FAMILIAR Y LLEVAR A CABO LA ESTRUCTURACIÓN DE LAS METODOLOGÍAS
DE EVALUACIÓN DESDE UNA PERSPECTIVA LEGAL.</t>
  </si>
  <si>
    <t>(ID: SDRAME-424)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</si>
  <si>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SDEEEP-380) PI: DISEÑO, CONSTRUCCIÓN Y PUESTA EN MARCHA DEL TANQUE DE PENSAMIENTO PARA EL SISTEMA DEL SUBSIDIO FAMILIAR DE COLOMBIA. ACTIVIDAD: DISEÑAR Y CONSTRUIR EL SISTEMA DE INNOVACIÓN PARA EL SSF. OBJETO:  PRESTAR SERVICIOS PROFESIONALES PARA APOYAR EL DESARROLLO ESTRATÉGICO Y OPERATIVO DEL OBSERVATORIO CON EL FIN DE QUE LA DELEGADA PARA ESTUDIOS ESPECIALES Y 
EVALUACIÓN DE PROYECTOS ASEGURE LA PRODUCCIÓN DE 
CONOCIMIENTO RELEVANTE Y DE ALTA CALIDAD.</t>
  </si>
  <si>
    <t xml:space="preserve">	(ID: OTIC-217) OBJETO: CONTRATAR LOS SERVICIOS PROFESIONALES PARA BRINDAR ACOMPAÑAMIENTO EN LA PLANEACIÓN, SEGUIMIENTO Y CONTROL DE LOS PROYECTOS DE GOBIERNO Y ANALÍTICA DE DATOS DE LA SUPERINTENDENCIA DEL SUBSIDIO FAMILIAR.PI: MEJORAMIENTO DEL ECOSISTEMA TECNOLÓGICO DE LA SUPERINTENDENCIA DEL SUBSIDIO FAMILIAR. NACIONAL. ACTIVIDAD: REALIZAR EL ANÁLISIS, PROCESAMIENTO, CATEGORIZACIÓN Y UTILIZACIÓN DE DATOS PARA LA TOMA DE DECISIONES Y GESTIÓN ESTRATÉGICA.</t>
  </si>
  <si>
    <t>(ID: SDRAME-067)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REALIZAR ACTIVIDADES RELACIONADAS CON LA SUSTANCIACIÓN Y ANÁLISIS DE LAS ACTUACIONES JURÍDICAS QUE SE REQUIERAN EN EL MARCO DEL PROCESO DE CONTROL LEGAL A CAJAS DE COMPENSACIÓN FAMILIAR, EN EL MARCO DEL PROYECTO "MODERNIZACIÓN DE LA INSPECCIÓN, VIGILANCIA Y CONTROL DE LA SUPERINTENDENCIA DEL SUBSIDIO FAMILIAR.</t>
  </si>
  <si>
    <t>D: SDRAME-446) PI: MODERNIZACIÓN DE LA INSPECCIÓN,  VIGILANCIA Y CONTROL DE LA SUPERINTENDENCIA DEL SUBSIDIO FAMILIAR. ACTIVIDAD: REALIZAR AUDITORÍAS DE GESTIÓN DEL RIESGO DE ALERTAS TEMPRANAS. OBJETO: PRESTAR SERVICIOS PROFESIONALES PARA BRINDAR APOYO CONTABLE A LA SUPERINTENDENCIA DELEGADA PARA LA RESPONSABILIDAD 
ADMINISTRATIVA Y LAS MEDIDAS ESPECIALES, EN EL MARCO DE LA GESTIÓN DE LA FUNCIÓN DE VIGILANCIA Y CONTROL LEGAL REALIZADO A LAS CAJAS DE COMPENSACIÓN FAMILIAR CON 
MEDIDA CAUTELAR</t>
  </si>
  <si>
    <t>(ID: SDRAME-423)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</si>
  <si>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(ID: SDRAME-441)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</si>
  <si>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 xml:space="preserve">	(ID: OPU-412) OBJETO: PRESTAR SERVICIOS PROFESIONALES EXPERTOS PARA ESTRUCTURAR EL CUSTOMER JURNEY O MAPA DE RECORRIDO DE CLIENTE DE LA SUPERSUBSIDIO PARA FORTALECER LOS CANALES DE ATENCIÓN.PI: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t>
  </si>
  <si>
    <t xml:space="preserve">	(ID: SDG-414) OBJETO: PRESTAR LOS SERVICIOS PROFESIONALES PARA APOYAR TÉCNICAMENTE LA INSPECCIÓN Y VIGILANCIA DEL PROCESO DE IVC A LAS CAJAS DE COMPENSACIÓN FAMILIAR CUMPLIENDO LA MISIONALIDAD DE LA SUPERINTENDENCIA. PI: MODERNIZACIÓN DE LA INSPECCIÓN, VIGILANCIA Y CONTROL DE LA SUPERINTENDENCIA DEL SUBSIDIO FAMILIAR. ACTIVIDAD: ELABORAR MODELOS ESTADÍSTICOS PARA MEJORAR EL SISTEMA DE SUPERVISIÓN FUERA DE SITIO.</t>
  </si>
  <si>
    <t>(ID. OPU-124) PRESTAR SERVICIOS PARA LA IMPLEMENTACIÓN DE UNA SOLUCIÓN TECNOLOGICA PARA EL FORTALECIMIENTO DEL RELACIONAMIENTO CON EL CIUDADANO Y LA DIVULGACIÓN DEL SISTEMA DEL SUBSIDIO FAMILIAR.</t>
  </si>
  <si>
    <t>(ID: COM-468) OBJETO: PRESTAR SERVICIOS DE APOYO A LA GESTIÓN DE CONTENIDO AUDIOVISUAL PARA EL DESPACHO DE LA SUPERINTEDNENCIA DEL SUBSIDIO FAMILIAR.PI: MODERNIZACIÓN DE LA INSPECCIÓN, VIGILANCIA Y CONTROL DE LA SUPERINTENDENCIA DEL SUBSIDIO FAMILIAR. ACTIVIDAD: ELABORAR PIEZAS INFORMATIVAS, PROMOCIONALES O DIDÁCTICAS DE LAS FUNCIONES DE IVC, DERECHOS Y DEBERES DE LOS CIUDADANOS Y NORMATIVIDAD DEL SUBSIDIO FAMILIAR.</t>
  </si>
  <si>
    <t xml:space="preserve">	(ID: SDEEEP-257) OBJETO: PRESTAR SERVICIOS PROFESIONALES A LA SDEEEP APOYANDO LA RECOLECCIÓN, ANÁLISIS, INTERPRETACIÓN Y SOCIALIZACIÓN DE LOS DATOS REPORTADOS POR LAS CAJAS DE COMPENSACIÓN FAMILIAR.PI: MODERNIZACIÓN DE LA INSPECCIÓN, VIGILANCIA Y CONTROL DE LA SUPERINTENDENCIA DEL SUBSIDIO FAMILIAR. ACTIVIDAD: GENERAR LOS PRODUCTOS ESTADÍSTICOS ESTABLECIDOS EN EL PROCESO ESTRATÉGICO.</t>
  </si>
  <si>
    <t>(ID: OPU-434) PI: FORTALECIMIENTO DEL RELACIONAMIENTO CON LA CIUDADANÍA Y LOS GRUPOS DE VALOR DEL SISTEMA DEL SUBSIDIO FAMILIAR A NIVEL NACIONAL. ACTIVIDAD: 
GENERAR ESPACIOS DE EDUCACIÓN INFORMAL PARA DIVULGAR PROGRAMAS, SERVICIOS, DERECHOS, DEBERES Y MECANISMOS DE PARTICIPACIÓN DEL SISTEMA DEL 
SUBSIDIO FAMILIAR. OBJETO: PRESTAR SERVICIOS PROFESIONALES PARA APLICAR ENFOQUES DE GENERO EN ESPACIOS DE EDUCACION INFORMAL QUE FORTALEZCAN SU EJERCICIO DE DERECHOS EN EL SISTEMA DE SUBSIDIO FAMILIAR Y FORTALECIMIENTO DEL RELACIONAMIENTO CON LA CIUDADANIA.</t>
  </si>
  <si>
    <t xml:space="preserve">(ID: SDG-429) OBJETO: PRESTAR LOS SERVICIOS PROFESIONALES DE APOYO EN EL DESARROLLAR DE HERRAMIENTAS DE CONTROL DE GESTIÓN Y EVALUACIÓN OPERATIVA PARA EL SEGUIMIENTO A LA EJECUCIÓN DE LOS PLANES OPERATIVOS ANUALES DE LAS CAJAS DE COMPENSACIÓN FAMILIAR. PI: MODERNIZACIÓN DE LA INSPECCIÓN, VIGILANCIA Y CONTROL DE LA SUPERINTENDENCIA DEL SUBSIDIO FAMILIAR.	</t>
  </si>
  <si>
    <t xml:space="preserve">(ID: SDG-430) OBJETO: PRESTAR LOS SERVICIOS PROFESIONALES QUE APOYEN LA ELABORACIÓN DE ESTUDIOS FINANCIEROS Y ANÁLISIS DE IMPACTO SOBRE LA GESTIÓN OPERATIVA DE LAS CAJAS DE COMPENSACIÓN FAMILIAR, CON EL FIN DE ESTABLECER INDICADORES DE ALERTA TEMPRANA Y ESCENARIOS DE RIESGO QUE APOYEN LA TOMA DE DECISIONES COMO ENTE DE INSPECCIÓN Y VIGILANCIA. PI: MODERNIZACIÓN DE LA INSPECCIÓN, VIGILANCIA Y CONTROL DE LA SUPERINTENDENCIA DEL SUBSIDIO FAMILIAR.	</t>
  </si>
  <si>
    <t>(ID: SDG-431) OBJETO: PRESTAR LOS SERVICIOS PROFESIONALES DE APOYO EN EL ANÁLISIS DEL FUNCIONAMIENTO DE LOS FONDOS DE LEY QUE OPERAN LAS CAJAS DE COMPENSACIÓN FAMILIAR, EN EL MARCO DE LOS PROCESOS DE INSPECCIÓN, VIGILANCIA Y CONTROL. PI: MODERNIZACIÓN DE LA INSPECCIÓN, VIGILANCIA Y CONTROL DE LA SUPERINTENDENCIA DEL SUBSIDIO FAMILIAR</t>
  </si>
  <si>
    <t>(ID: SDG-420) OBJETO: PRESTAR SERVICIOS PROFESIONALES PARA APOYAR A LA DELEGADA PARA LA GESTIÓN EN LOS PROCESOS DE INSPECCIÓN Y VIGILANCIA A LAS CAJAS DE COMPENSACIÓN FAMILIAR, EN EL MARCO DEL DESARROLLO DEL SISTEMA INTEGRADO DE ALERTAS TEMPRANAS.PI: MODERNIZACIÓN DE LA INSPECCIÓN, VIGILANCIA Y CONTROL DE LA SUPERINTENDENCIA DEL SUBSIDIO FAMILIAR. ACTIVIDAD: ELABORAR MODELOS ESTADÍSTICOS PARA MEJORAR EL SISTEMA DE SUPERVISIÓN FUERA DE SITIO.</t>
  </si>
  <si>
    <t>(ID: OPU-412) OBJETO: PRESTAR SERVICIOS PROFESIONALES EXPERTOS PARA ESTRUCTURAR EL CUSTOMER JURNEY O MAPA DE RECORRIDO DE CLIENTE DE LA SUPERSUBSIDIO PARA FORTALECER LOS CANALES DE ATENCIÓN.PI: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t>
  </si>
  <si>
    <t>ID: OTIC-210) PI: MEJORAMIENTO DEL ECOSISTEMA TECNOLÓGICO DE LA SUPERINTENDENCIA DEL SUBSIDIO FAMILIAR. NACIONAL. ACTIVIDAD: ESTABLECER LA ARQUITECTURA PARA LA SEGURIDAD DE LA INFORMACIÓN. A. OBJETO: PRESTAR SERVICIOS PARA LA OPTIMIZACIÓN Y ACTUALIZACIÓN DE REDES Y SERVICIOS DE COMUNICACIONES EN LA ENTIDAD</t>
  </si>
  <si>
    <t>(ID: OTIC-237) PRESTAR SERVICIOS PARA EL MANTENIMIENTO PREVENTIVO Y CORRECTIVO DE LOS RECURSOS COMPUTACIONALES, INCLUYENDO EL SUMINISTRO DE REPUESTOS, PARA LA SUPERINTENDENCIA DEL SUBSIDIO FAMILIAR.</t>
  </si>
  <si>
    <t>ID: SDRAME-442)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REVISIÓN JURÍDICA DE LOS EXPEDIENTES Y ACTUACIONES ADELANTADAS EN EL MARCO DE LOS PROCESOS ADMINISTRATIVOS SANCIONATORIOS, ASÍ COMO LA SUSTANCIACIÓN A CARGO DE LA SUPERINTENDENCIA DELEGADA PARA LA RESPONSABILIDAD ADMINISTRATIVA Y LAS MEDIDAS ESPECIALES, EN EL EJERCICIO DE LA FUNCIÓN DE CONTROL LEGAL A LAS CAJAS DE COMPENSACIÓN FAMILIAR.</t>
  </si>
  <si>
    <t>(ID: UNIF-428) PI: IMPLEMENTACIÓN DEL MODELO DE PLANEACIÓN Y GESTIÓN EN EL MARCO DE LA ARQUITECTURA EMPRESARIAL DE LA SUPERINTENDENCIA DEL SUBSIDIO FAMILIAR NACIONAL. ACTIVIDAD: REALIZAR LA IMPLEMENTACIÓN DE MAPA DE RUTA DE ARQUITECTURA DE LA SSF; ELABORAR DOCUMENTOS DE APOYO: GUÍAS, PLANES, MANUALES, MAPAS DE RIESGOS Y CARTILLAS QUE ORIENTEN LA LABOR DE LAS DEPENDENCIAS; REALIZAR EL MANTENIMIENTO Y MEJORA DEL SISTEMA DE GESTIÓN DE CALIDAD PARA LA ADMINISTRACIÓN, OPTIMIZACIÓN, SENSIBILIZACIÓN Y OPERACIÓN DE ESTE; DESARROLLAR EL EJERCICIO DE ARQUITECTURA EMPRESARIAL [INCLUYE: ARQUITECTURA ACTUAL, ARQUITECTURA OBJETIVO, ARQUITECTURA ANÁLISIS DE BRECHAS, DEFINICIÓN DEL MAPA DE RUTA]; REALIZAR LA EVALUACIÓN DEL EJERCICIO DE RQUITECTURA EMPRESARIAL QUE INCLUYA OPORTUNIDADES DE MEJORA. PI: 
MODERNIZACIÓN DE LA INSPECCIÓN, VIGILANCIA Y CONTROL DE LA 
SUPERINTENDENCIA DEL SUBSIDIO FAMILIAR: ACTIVIDAD: MODERNIZAR 
MEDIANTE HERRAMIENTAS TECNOLÓGICAS EL SEGUIMIENTO DE LOS PLANES 
DE MEJORAMIENTO Y EL PROCESO DE REGISTRO Y CONTROL; ORGANIZAR LA 
INFORMACIÓN SOBRE EL CONTROL LEGAL Y LA APLICACIÓN DE PLANES DE 
CONTINGENCIA PARA LA DESCONGESTIÓN DE ESTE PROCESO; REALIZAR 
AUDITORÍAS DE GESTIÓN DEL RIESGO DE ALERTAS TEMPRANAS; ELABORAR 
MODELOS ESTADÍSTICOS PARA MEJORAR EL SISTEMA DE SUPERVISIÓN FUERA 
DE SITIO. FORTALECIMIENTO DEL RELACIONAMIENTO CON LA CIUDADANÍA Y 
LOS GRUPOS DE VALOR DEL SISTEMA DEL SUBSIDIO FAMILIAR A NIVEL 
NACIONAL. ACTIVIDAD: 2.1.2. ENTREGABLES - NIVEL 1 - DOCUMENTO CON LA 
DESCRIPCIÓN DE PROCESOS, MÉTODOS Y HERRAMIENTAS; 2.1.3. ENTREGABLE 
- NIVEL 1- PLAN DE TRABAJO. LINEAMIENTOS TÉCNICOS. OBJETO: CONTRATAR 
LOS SERVICIOS PARA LA ENTREGA DEL DIAGNÓSTICO, ORGANIZACIÓN, 
ELABORACIÓN, ACTUALIZACIÓN Y/O IMPLEMENTACIÓN DE LOS INSTRUMENTOS ARCHIVÍSTICOS Y DE GESTIÓN DEL RELACIONAMIENTO CON 
EL CIUDADANO NECESARIOS PARA EL ADECUADO CUMPLIMIENTO DE LA 
MISIONALIDAD DE LA SUPERINTENDENCIA DEL SUBSIDIO FAMILIAR.</t>
  </si>
  <si>
    <t xml:space="preserve"> NINI JOHANNA TORRES SANDOVAL</t>
  </si>
  <si>
    <t>CHRISTIAN ARLEY PINZON RAMOS</t>
  </si>
  <si>
    <t>ANGELA MARIA LOPEZ FERREIRA</t>
  </si>
  <si>
    <t>DIEGO ANDRES GUARIN VILLABON</t>
  </si>
  <si>
    <t>NATALIA PAOLA PORRAS CIFUENTES</t>
  </si>
  <si>
    <t>LUIS FELIPE MENDEZ MARTINEZ</t>
  </si>
  <si>
    <t>Panamericana Outsourcing S.A.</t>
  </si>
  <si>
    <t>HAS LTDA</t>
  </si>
  <si>
    <t>PROVEER INSTITUCIONAL SAS</t>
  </si>
  <si>
    <t xml:space="preserve">FERRICENTROS SAS
</t>
  </si>
  <si>
    <t>ANDRES DAVID ZUÑIGA RAMOS</t>
  </si>
  <si>
    <t>ISMAELINA HENAO GOMEZ</t>
  </si>
  <si>
    <t>HERNANDO ALFONSO TRILLEROS NAVARRO</t>
  </si>
  <si>
    <t>Interconexiones Tecnologicas SAS</t>
  </si>
  <si>
    <t>ERIKA ANDREA RUBIO CASTILLO</t>
  </si>
  <si>
    <t>DEVANIS ALVENI MORALES ITURRIAGO</t>
  </si>
  <si>
    <t>YENNY MABEL SANCHEZ PUENTES.</t>
  </si>
  <si>
    <t>ADRIANA ROCIO CAPERA AMOROCHO</t>
  </si>
  <si>
    <t>DAVID SANTIAGO ALGARRA PLAZAS</t>
  </si>
  <si>
    <t>EMPRESA LIBRE DE ALCOHOL Y DROGAS S.A.S.</t>
  </si>
  <si>
    <t xml:space="preserve"> ADRIANA YADIRA MENDIETA BRICEÑO</t>
  </si>
  <si>
    <t>JORGE NICOLAS OLAYA MESA</t>
  </si>
  <si>
    <t>LUISA FERNANDA GARCIA OCHOA</t>
  </si>
  <si>
    <t>ADRIANA ALEXANDRA FRANCO MONCAYO</t>
  </si>
  <si>
    <t>WILLIAM YESID AGUIRRE CARPETA</t>
  </si>
  <si>
    <t xml:space="preserve"> DANIEL ESTEBAN RUANO RUIZ</t>
  </si>
  <si>
    <t>CORPORACIÓN PARA EL DESARROLLO ECONÓMICO REGIONAL</t>
  </si>
  <si>
    <t>CRISTIAN CAMILO DIAZ PERILLA</t>
  </si>
  <si>
    <t>SANDRA MILENA VERGARA GUTIERREZ</t>
  </si>
  <si>
    <t>EDGAR JOSE JIMENEZ MANGONES</t>
  </si>
  <si>
    <t>DANIELA ALEJANDRA ORTEGA CHAMORRO</t>
  </si>
  <si>
    <t>COLSOF S.A.S.</t>
  </si>
  <si>
    <t>OSCAR RUIZ JAIME</t>
  </si>
  <si>
    <t>ANGELA JOHANNA OLIVEROS QUINTERO</t>
  </si>
  <si>
    <t>VICTOR MANUEL MENDEZ MONSALVE</t>
  </si>
  <si>
    <t>CLAUDIA MILENA QUEVEDO ROCHA</t>
  </si>
  <si>
    <t>EFRAIN GARCIA VENEGAS</t>
  </si>
  <si>
    <t>MARELVY DEL PILAR BENAVIDES PEREZ</t>
  </si>
  <si>
    <t>CAMERFIRMA COLOMBIA S.A.S.</t>
  </si>
  <si>
    <t>GLOBAL COLOMBIA CERTIFICACIÓN S A S</t>
  </si>
  <si>
    <t>SOFTEXPERT SOFTWARE COLOMBIA SAS</t>
  </si>
  <si>
    <t xml:space="preserve">HECTOR LUIS QUIÑONES QUIÑONES	 </t>
  </si>
  <si>
    <t>ERIKA MERCEDES GOMEZ RIVERA</t>
  </si>
  <si>
    <t>BRANCH OF MICROSOFT COLOMBIA INC</t>
  </si>
  <si>
    <t>E&amp;C INGENIERO SAS</t>
  </si>
  <si>
    <t>ADRIANA SANCHEZ MERA</t>
  </si>
  <si>
    <t>UNION TEMPORAL GTS PROCON 2025</t>
  </si>
  <si>
    <t>SANDRA CLEMENCIA DEL PILAR BERNAL ALTURO</t>
  </si>
  <si>
    <t>DIANA DEL PILAR ROMERO VARILA</t>
  </si>
  <si>
    <t xml:space="preserve"> NIT</t>
  </si>
  <si>
    <t>(ID: SDEEEP-383) OBJETO: PRESTAR SERVICIOS PROFESIONALES PARA EL APOYO EN LA GESTIÓN DE LA PLATAFORMA WEB DEL OBSERVATORIO Y APOYO EN LA ESTRATEGIA DE CONTENIDO DIGITAL PARA MAXIMIZAR EL ALCANCE Y LA VISIBILIDAD DEL OBSERVATORIO DE LA DELEGADA PARA ESTUDIOS ESPECIALES Y EVALUACIÓN DE PROYECTOS.PI: MODERNIZACIÓN DE LA INSPECCIÓN, VIGILANCIA Y CONTROL DE LA SUPERINTENDENCIA DEL SUBSIDIO FAMILIAR. ACTIVIDAD: GENERAR LOS PRODUCTOS ESTADÍSTICOS ESTABLECIDOS EN EL PROCESO ESTRATÉGICO.</t>
  </si>
  <si>
    <t>(ID: OTIC-470) OBJETO: PRESTAR SERVICIOS PROFESIONALES PARA APOYAR EL ANÁLISIS, ESTRUCTURACIÓN Y DESARROLLO DE MODELOS DE DATOS PARA MEJORA DE PROCESOS DE LA SUPERINTENDENCIA DEL SUBSIDIO FAMILIAR. PI: MEJORAMIENTO DEL ECOSISTEMA TECNOLÓGICO DE LA SUPERINTENDENCIA DEL SUBSIDIO FAMILIAR. NACIONAL. ACTIVIDAD: REALIZAR EL ANÁLISIS, PROCESAMIENTO, CATEGORIZACIÓN Y UTILIZACIÓN DE DATOS PARA LA TOMA DE DECISIONES Y GESTIÓN ESTRATÉGICA.</t>
  </si>
  <si>
    <t>(ID: SDRAME-422)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 SUSTANCIACIÓN 
DE LOS PROCESOS ADMINISTRATIVOS SANCIONATORIOS EN EL MARCO DEL PROCESO DE CONTROL LEGAL A LAS CAJAS DE COMPENSACIÓN FAMILIAR, A CARGO DE LA DELEGADA PARA LA RESPONSABILIDAD ADMINISTRATIVA Y LAS MEDIDAS ESPECIALES</t>
  </si>
  <si>
    <t xml:space="preserve">	(ID: SDRAME-454) OBJETO: PRESTAR SERVICIOS PROFESIONALES PARA APOYAR JURIDICAMENTE A LA DELEGADA PARA LA RESPONSABILIDAD ADMINISTRATIVA Y LAS MEDIDAS ESPECIALES, EN EL MARCO DE LA GESTIÓN DE LA FUNCIÓN DE VIGILANCIA Y CONTROL LEGAL REALIZADO A LAS CAJAS DE COMPENSACIÓN FAMILIAR.PI: MODERNIZACIÓN DE LA INSPECCIÓN, VIGILANCIA Y CONTROL DE LA SUPERINTENDENCIA DEL SUBSIDIO FAMILIAR. ACTIVIDAD: REALIZAR AUDITORÍAS DE GESTIÓN DEL RIESGO DE ALERTAS TEMPRANAS.</t>
  </si>
  <si>
    <t>(ID: OPU-462) OBJETO: PRESTAR SERVICIOS PROFESIONALES PARA BRINDAR ACOMPAÑAMIENTO JURIDICO EN LA ELABORACIÓN, REVISIÓN Y EJECUCIÓN DE CONTRATOS CON PERSONAS NATURALES Y JURIDICAS, CON EL FIN DE GARANTIZAR EL CUMPLIMIENTO LEGAL EN DICHAS ACCIONES QUE FAVORECEN EL FORTALECIMIENTO DE LOS CANALES Y DEL RELACIONAMIENTO INSTITUCIONAL CON LA CIUDADANIA.</t>
  </si>
  <si>
    <t>(ID: OTIC-464) OBJETO: PRESTAR SERVICIOS PROFESIONALES PARA APOYAR LA DEFINICIÓN DEL PLAN DE INFRAESTRUCTURA DE DATOS EN EL COMPONENTE DE INFRAESTRUCTURA PI: MEJORAMIENTO DEL ECOSISTEMA TECNOLÓGICO DE LA SUPERINTENDENCIA DEL SUBSIDIO FAMILIAR. NACIONAL. ACTIVIDAD: REALIZAR EL ANÁLISIS, PROCESAMIENTO, CATEGORIZACIÓN Y UTILIZACIÓN DE DATOS PARA LA TOMA DE DECISIONES Y GESTIÓN ESTRATÉGICA</t>
  </si>
  <si>
    <t>(ID: COM-147) PI:MODERNIZACIÓN DE LA INSPECCIÓN,VIGILANCIA Y CONTROL DE LASUPERINTENDENCIA DEL SUBSIDIO FAMILIAR.ACTIVIDAD: IMPLEMENTAR UN PLANESTRATÉGICO DE COMUNICACIONES DE LA SSFEN CUMPLIMIENTO DE SU MISIONALIDAD.OBJETO: RENOVACIÓN Y ADQUISICIÓN DE LASLICENCIAS DE LOS SOFTWARE DE DISEÑO DECOMUNICACIONES.</t>
  </si>
  <si>
    <t>(ID: COM-147) PI: MODERNIZACIÓN DE LA INSPECCIÓN, VIGILANCIA Y CONTROL DE LA SUPERINTENDENCIA DEL SUBSIDIO FAMILIAR. ACTIVIDAD: IMPLEMENTAR UN PLAN ESTRATÉGICO DE COMUNICACIONES DE LA SSF EN CUMPLIMIENTO DE SU MISIONALIDAD. OBJETO: RENOVACIÓN Y ADQUISICIÓN DE LAS LICENCIAS DE LOS SOFTWARE DE DISEÑO DE COMUNICACIONES.</t>
  </si>
  <si>
    <t>(ID: OPU-121) OBJETO: PRESTAR SERVICIOS DE APOYO A LA GETIÓN ORIENTADOS AL DESARROLLO FRONTEND DE LOS CANALES DIGITALES DE LA SUPERSUBSIDIO.PI: FORTALECIMIENTO DEL RELACIONAMIENTO CON LA CIUDADANÍA Y LOS GRUPOS DE VALOR DEL SISTEMA DEL SUBSIDIO FAMILIAR A NIVEL NACIONAL.</t>
  </si>
  <si>
    <t>(ID: SDEEEP-387) OBJETO: PRESTAR SERVICIOS PROFESIONALES A LA SDEEEP COMO FACILITADOR PARA FOMENTO DE LA COLABORACIÓN Y LA CREATIVIDAD EN LA RED NOVABOX DEL LABORATORIO DE INNOVACIÓN DEL SUBSIDIO FAMILIAR. PI: DISEÑO, CONSTRUCCIÓN Y PUESTA EN MARCHA DEL TANQUE DE PENSAMIENTO PARA EL SISTEMA DEL SUBSIDIO FAMILIAR DE COLOMBIA.</t>
  </si>
  <si>
    <t>(ID: SDEEEP-384) PI: MODERNIZACIÓN DE LA INSPECCIÓN, VIGILANCIA Y CONTROL DE LA SUPERINTENDENCIA DEL SUBSIDIO FAMILIAR. ACTIVIDAD: GENERAR LOS PRODUCTOS ESTADÍSTICOS ESTABLECIDOS EN EL PROCESO ESTRATÉGICO. OBJETO: PRESTACIÓN DE SERVICIOS PROFESIONALES PARA EL 
APOYO EN EL ACOMPAÑAMIENTO, SEGUIMIENTO Y PREPARACIÓN PARA LA AUDITORÍA INTERNA AL PROCESO DE LA ESTADÍSTICAS GENERALES DEL SISTEMA DE SUBSIDIO FAMILIAR - OE EGSSF, 
CONFORME A LA NORMA TÉCNICA DE LA CALIDAD DEL PROCESO ESTADÍSTICO NTC PE1000:202</t>
  </si>
  <si>
    <t>(ID: OTIC-404) OBJETO: PRESTARSERVICIOS PARA EL FORTALECIMIENTO DELMODELO DE SEGURIDAD Y PRIVACIDAD DE LASUPERINTENDENCIA DEL SUBSIDIO FAMILIAR.</t>
  </si>
  <si>
    <t>(ID: SDRAME-072) PI: MODERNIZACIÓN DE LA INSPECCIÓN, VIGILANCIA Y CONTROL DE LA SUPERINTENDENCIA DEL SUBSIDIO FAMILIAR. ACTIVIDAD: ORGANIZAR LA INFORMACIÓN SOBRE EL 
CONTROL LEGAL Y LA APLICACIÓN DE PLANES DE CONTINGENCIA PARA LA DESCONGESTIÓN DE ESTE PROCESO. OBJETO: PRESTAR SERVICIOS PROFESIONALES PARA APOYAR LAS ACTUACIONES 
ADMINISTRATIVAS EN EL MARCO DE LA SUSTANCIACIÓN DE LOS PROCESOS ADMINISTRATIVOS SANCIONATORIOS A CARGO DE LA DELEGADA PARA LA RESPONSABILIDAD ADMINISTRATIVA Y LAS 
MEDIDAS ESPECIALES.</t>
  </si>
  <si>
    <t>(ID: SDEEEP-386) OBJETO: PRESTAR SERVICIOS PROFESIONALES PARA APOYAR EL SEGUIMIENTO Y CONTROL TÉCNICO A LOS PLANES, PROGRAMAS Y PROYECTOS DE INVERSIÓN PARA OBRAS O SERVICIOS PRESENTADOS SOCIALES, A TRAVÉS DEL BANCO DE PROYECTOS DE INVERSIÓN DEL SUBSIDIO FAMILIAR. PI: MODERNIZACIÓN DE LA INSPECCIÓN, VIGILANCIA Y CONTROL DE LA SUPERINTENDENCIA DEL SUBSIDIO FAMILIAR. ACTIVIDAD: IMPLEMENTAR EL BANCO DE PROYECTOS PRESENTADOS POR LAS CAJAS DE COMPENSACIÓN FAMILIAR.</t>
  </si>
  <si>
    <t xml:space="preserve">	(ID: GGTH-459) PRESTAR LOS SERVICIOS PROFESIONALES PARA COORDINAR Y APOYAR LA IMPLEMENTACION DE DEL SOFTWARE DE NÓMINA DE LA SUPERINTENDENCIA DE SUBSIDIO FAMILIAR ESPECIFICAMENTE EN LAS ACTIVIDADES RELACIONADAS CON LA REVISION DEL PARARELO Y LA COORDINACION DE LA SALIDA EN VIVO DEL SISTEMA DE NOMINA {NOVASOFT}.</t>
  </si>
  <si>
    <t xml:space="preserve">(ID: GGD-455) PI: IMPLEMENTACIÓN DEL MODELO DE PLANEACIÓN Y GESTIÓN EN EL MARCO DE LA ARQUITECTURA EMPRESARIAL DE LA SUPERINTENDENCIA DEL SUBSIDIO FAMILIAR NACIONAL. 
ACTIVIDAD: ARTICULAR LA OPERACIÓN DE LOS SISTEMAS DE GESTIÓN CON LOS REQUISITOS DEL MODELO INTEGRADO DE PLANEACIÓN Y GESTIÓN. OBJETO: PRESTAR SERVICIOS PROFESIONALES PARA APOYAR AL GRUPO DE GESTIÓN DOCUMENTAL Y NOTIFICACIONES EN LA SUPERVISIÓN DEL CONTRATO DE ELABORACIÓN DE LOS INSTRUMENTOS ARCHIVISTICOS Y LA ORGANIZACIÓN DOCUMENTAL DE LA 
ENTIDAD. </t>
  </si>
  <si>
    <t>(ID: SDRAME-444) PRESTAR SERVICIOS PROFESIONALES PARA APOYAR LA REVISIÓN JURÍDICA DE LOS EXPEDIENTES Y ACTUACIONES ADELANTADAS EN EL MARCO DE LOS PROCESOS ADMINISTRATIVOS SANCIONATORIOS, ASÍ COMO LA SUSTANCIACIÓN A CARGO DE LA SUPERINTENDENCIA DELEGADA PARA LA RESPONSABILIDAD ADMINISTRATIVA Y LAS MEDIDAS ESPECIALES, EN EL EJERCICIO DE LA FUNCIÓN DE CONTROL LEGAL A LAS CAJAS DE COMPENSACIÓN FAMILIAR. PI: MODERNIZACIÓN DE LA INSPECCIÓN, VIGILANCIA Y CONTROL DE LA SUPERINTENDENCIA DEL SUBSIDIO FAMI</t>
  </si>
  <si>
    <t>(ID: GGA-012) PRESTAR EL SERVICIO DE CALIBRACIÓN DEL ALCOHOLÍMETRO CON SUMINISTRO DE BOQUILLAS Y CAPACITACIÓN CERTIFICADA PARA EL MANEJO DEL ALCOHOLIMETRO DE PROPIEDAD DE LA SUPERINTENDENCIA DEL SUBSIDIO FAMILIAR.</t>
  </si>
  <si>
    <t>(ID: COM-467) OBJETO: PRESTAR SERVICIOS PROFESIONALES DE COMUNICACIÓN, QUE INCLUYA LA CONCEPTUALIZACIÓN QUE REQUIERE LA SUPERINTENDENCIA DEL SUBSIDIO FAMILIAR.PI: MODERNIZACIÓN DE LA INSPECCIÓN, VIGILANCIA Y CONTROL DE LA SUPERINTENDENCIA DEL SUBSIDIO FAMILIAR. ACTIVIDAD: ELABORAR PIEZAS INFORMATIVAS, PROMOCIONALES O DIDÁCTICAS DE LAS FUNCIONES DE IVC, DERECHOS Y DEBERES DE LOS CIUDADANOS Y NORMATIVIDAD DEL SUBSIDIO FAMILIAR</t>
  </si>
  <si>
    <t>(ID: DES-433) PRESTAR SERVICIOS PROFESIONALES PARA APOYAR EL ANÁLISIS Y SEGUIMIENTO FINANCIERO SOBRE LAS COMPETENCIAS PROPIAS DEL DESPACHO DE LA SUPERINTENDENCIA DEL SUBSIDIO FAMILIAR.</t>
  </si>
  <si>
    <t>(ID: OAP-358) OBJETO: PRESTAR SERVICIOS PROFESIONALES A LA OFICINA ASESORA DE PLANEACIÓN PARA APOYAR LAS ACTIVIDADES PROPIAS DEL ÁREA Y FORTALECIMIENTO DEL MODELO INTEGRADO DE PLANEACIÓN Y GESTIÓN MIPG EN LA ENTIDAD. PI: IMPLEMENTACIÓN DEL MODELO DE PLANEACIÓN Y GESTIÓN EN EL MARCO DE LA ARQUITECTURA EMPRESARIAL DE LA SUPERINTENDENCIA DEL SUBSIDIO FAMILIAR NACIONAL.</t>
  </si>
  <si>
    <t>(ID: OPU-117-1) OBJETO: PRESTAR SERVICIOS PROFESIONALES PARA APOYAR LA ELABORACIÓN, GESTIÓN Y DIVULGACIÓN DE CONTENIDO DIRIGIDO A LOS GRUPOS DE VALOR Y DE INTERÉS DE LA SUPERINTENDENCIA DEL SUBSIDIO PI: FORTALECIMIENTO DEL RELACIONAMIENTO CON LA CIUDADANÍA Y LOS GRUPOS DE VALOR DEL SISTEMA DEL SUBSIDIO FAMILIAR A NIVEL NACIONAL.</t>
  </si>
  <si>
    <t>(ID: SDG-418) OBJETO: PRESTAR SERVICIOS PROFESIONALES DE APOYO A LA GESTIÓN EN LA INSPECCIÓN Y VIGILANCIA DE LAS CCF EN CUMPLIMIENTO DE LAS FUNCIONES MISIONALES DE LA SUPERINTENDENCIA. PI: MODERNIZACIÓN DE LA INSPECCIÓN, VIGILANCIA Y CONTROL DE LA SUPERINTENDENCIA DEL SUBSIDIO FAMILIAR. ACTIVIDAD: ELABORAR MODELOS ESTADÍSTICOS PARA MEJORAR EL SISTEMA DE SUPERVISIÓN FUERA DE SITIO.</t>
  </si>
  <si>
    <t>(ID: OTIC-465) OBJETO: PRESTAR SERVICIOS PROFESIONALES PARA APOYAR LA GESTIÓN DE LA CAPACIDAD Y DISPONIBILIDAD DE LA INFRAESTRUCTURA TECNOLÓGICA DE LA ENTIDAD DE LA SUPERINTENDENCIA DEL SUBSIDIO FAMILIA. PI: MEJORAMIENTO DEL ECOSISTEMA TECNOLÓGICO DE LA SUPERINTENDENCIA DEL SUBSIDIO FAMILIAR. NACIONAL. ACTIVIDAD: REALIZAR LA MODERNIZACIÓN DE LA INFRAESTRUCTURA TECNOLÓGICA SEGURA, CONFIABLE Y DIMENSIONADA EN CAPACIDAD Y DISPONIBILIDAD REQUERIDA</t>
  </si>
  <si>
    <t>(ID: GGC-482) PRESTAR SERVICIOS PROFESIONALES JURÍDICOS PARA APOYAR EN LA ESTRUCTURACIÓN O PROYECCIÓN DE DOCUMENTOS PREVIOS Y ALISTAMIENTO DOCUMENTAL PARA LA PUBLICACIÓN DE LOS PROCESOS CONTRACTUALES EN SUS DIFERENTES ETAPAS EN LA MODALIDAD DE CONTRATACIÓN DIRECTA, EN EL GRUPO DE GESTIÓN CONTRACTUAL DE LA SUPERINTENDENCIA DE SUBSIDIO FAMILIAR</t>
  </si>
  <si>
    <t>(ID: UNIF-479) OBJETO: SERVICIOS LOGÍSTICOS PARA LA PLANIFICACIÓN, ORGANIZACIÓN Y EJECUCIÓN INTEGRAL DE EVENTOS, JORNADAS INSTITUCIONALES, CAPACITACIONES, SEMINARIOS, REUNIONES Y/O 
TALLERES PARA PROMOVER LA SOCIALIZACIÓN DE PROYECTOS QUE SE ENCUENTRAN RELACIONADOS CON LA INSPECCIÓN, VIGILANCIA Y CONTROL, EN CUMPLIMIENTO DE LA MISIÓN DE LA SUPERINTENDENCIA 
DEL SUBSIDIO FAMILIAR.</t>
  </si>
  <si>
    <t>(ID: SDRAME-447) OBJETO: PRESTAR SERVICIOS PROFESIONALES PARA BRINDAR APOYO A LA SUPERINTENDENCIA DELEGADA PARA LA RESPONSABILIDAD ADMINISTRATIVA Y LAS MEDIDAS ESPECIALES, EN EL MARCO DE LA GESTIÓN DE LA FUNCIÓN DE VIGILANCIA Y CONTROL LEGAL REALIZADO A LAS CAJAS DE COMPENSACIÓN FAMILIAR CON MEDIDA CAUTELAR.</t>
  </si>
  <si>
    <t>(ID: GGC-472) PRESTAR SERVICIOS PROFESIONALES PARA EL ACOMPAÑAMIENTO JURÍDICO AL GRUPO DE GESTIÓN CONTRACTUAL EN LOS PROCESOS DE CONTRATACIÓN QUE SE ADELANTEN.</t>
  </si>
  <si>
    <t>(ID: OTIC-463) OBJETO: PRESTAR SERVICIOS PROFESIONALES COMO DESARROLLADOR PARA EL PROCESO DE AUTOMATIZACIONES DE LA PLATAFORMA DE GESTIÓN INSTITUCIONAL. PI: MEJORAMIENTO DEL ECOSISTEMA TECNOLÓGICO DE LA SUPERINTENDENCIA DEL SUBSIDIO FAMILIAR. NACIONAL.	 
Tipo de Contrato	Prestación de servicios</t>
  </si>
  <si>
    <t>(ID: COM-469) OBJETO: PRESTAR SERVICIOS PROFESIONALES PARA PARA APOYAR EL PLAN ESTRATEGICO DE COMUNICACIONES DE LA SUPERINTENDENCIA DEL SUBSIDIO FAMILIAR.PI: MODERNIZACIÓN DE LA INSPECCIÓN, VIGILANCIA Y CONTROL DE LA SUPERINTENDENCIA DEL SUBSIDIO FAMILIAR. ACTIVIDAD: IMPLEMNTAR UN PLAN ESTRATEGICO DE COMUNICACIONES DE LA SSF EN CUMPLIMIENTO DE SU MISIONALIDAD.</t>
  </si>
  <si>
    <t>(ID: OTIC-368) CONTRATAR EL SERVICIO DE RENOVACIÓN DE SOPORTE PARA PARTES, MANTENIMIENTO PREVENTIVO Y CORRECTIVO DE LA INFRAESTRUCTURA CENTRAL DE CÓMPUTO [HP] DE LA SUPERINTENDENCIA DEL SUBSIDIO FAMILIAR</t>
  </si>
  <si>
    <t>(ID: SDRAME-453) OBJETO: PRESTAR SERVICIOS PROFESIONALES EN LA DELEGADA PARA LA RESPONSABILIDAD ADMINISTRATIVA Y LAS MEDIDAS ESPECIALES, PARA APOYAR ACTIVIDADES EN EL MARCO DE LA GESTIÓN DE LA FUNCIÓN DE VIGILANCIA Y CONTROL LEGAL REALIZADO A LAS CAJAS DE COMPENSACIÓN FAMILIAR CON MEDIDA CAUTELAR.</t>
  </si>
  <si>
    <t>(ID: GGC-473) PRESTAR SERVICIOS PROFESIONALES EN EL GRUPO DE GESTIÓN CONTRACTUAL EN LOS TRAMITES QUE REQUIERA DE FORMA TRANSVERSAL EN LA SUPERINTENDENCIA DEL SUBSIDIO FAMILIAR.</t>
  </si>
  <si>
    <t>(ID: SDG 477) OBJETO: PRESTAR LOS SERVICIOS PROFESIONALES PARA APOYAR LA INSPECCIÓN Y VIGILANCIA A LAS CAJAS DE COMPENSACIÓN FAMILIAR CUMPLIENDO LAS FUNCIONES DE LA DELEGADA PARA LA GESTIÓN.477) PI: MODERNIZACIÓN DE LA INSPECCIÓN, VIGILANCIA Y CONTROL DE LA SUPERINTENDENCIA DEL SUBSIDIO FAMILIAR. ACTIVIDAD: ELABORAR MODELOS ESTADÍSTICOS PARA MEJORAR EL SISTEMA D E SUPERVISIÓN FUERA DE SITIO.</t>
  </si>
  <si>
    <t>(ID: OAP-475) OBJETO: PRESTAR SERVICIOS PROFESIONALES EN ACTIVIDADES VINCULADAS A LA PLANEACIÓN INSTITUCIONAL, GESTIÓN DE ASPECTOS PRESUPUESTALES Y SU INTEGRACIÓN CON EL SISTEMA DE GESTIÓN DE CALIDAD [SGC] DE LA ENTIDAD.PI: IMPLEMENTACIÓN DEL MODELO DE PLANEACIÓN Y GESTIÓN EN EL MARCO DE LA ARQUITECTURA EMPRESARIAL DE LA SUPERINTENDENCIA DEL SUBSIDIO FAMILIAR NACIONAL.</t>
  </si>
  <si>
    <t>(ID: SDEEEP-385) OBJETO: PRESTACIÓN DE SERVICIOS PROFESIONALES PARA BRINDAR APOYO EN LA ANALÍTICA, IDENTIFICACIÓN, DISEÑO DE DATOS Y APOYO EN LA PRIORIZACIÓN DE DATOS OBJETIVO, EN LA DELEGADA PARA ESTUDIOS ESPECIALES Y EVALUACIÓN DE PROYECTOS. PI: MODERNIZACIÓN DE LA INSPECCIÓN, VIGILANCIA Y CONTROL DE LA SUPERINTENDENCIA DEL SUBSIDIO FAMILIAR</t>
  </si>
  <si>
    <t>(ID: SDG-419) OBJETO: PRESTAR LOS SERVICIOS PROFESIONALES EN LA DIRECCIÓN PARA LA GESTIÓN FINANCIERA Y CONTABLE REVISANDO LAS ESTRUCTURAS FINANCIERAS DE LAS CAJAS DE COMPENSACIÓN FAMILIAR EN EL MARCO DE LA INSPECCIÓN Y VIGILANCIA.</t>
  </si>
  <si>
    <t>(ID: GGD-421) ADQUIRIR LOS CERTIFICADOS DIGITALES PARA EL ASEGURAMIENTO JURÍDICO Y TÉCNICO DE LAS COMUNICACIONES ELECTRÓNICAS EMANADAS Y ACCESO A SIFF NACIÓN POR PARTE DE LA SUPERINTENDENCIA DEL SUBSIDIO FAMILIAR.</t>
  </si>
  <si>
    <t>(ID: OAP-093) PI: IMPLEMENTACIÓN DEL MODELO DE PLANEACIÓN Y GESTIÓN EN EL MARCO DE LA ARQUITECTURA EMPRESARIAL DE LA SUPERINTENDENCIA DEL SUBSIDIO FAMILIAR NACIONAL. ACTIVIDAD: REALIZAR LAS AUDITORÍAS EXTERNAS AL SISTEMA DE GESTIÓN. OBJETO: CONTRATAR LA ACTIVIDAD DE SEGUIMIENTO DE ACUERDO CON EL CICLO DE AUDITORÍA PARA LA CERTIFICACIÓN DEL SISTEMA DE GESTIÓN DE LA SUPERINTENDENCIA DEL SUBSIDIO FAMILIAR RECIBIDO POR LA ENTIDAD CERTIFICADORA PARA LA VIGENCIA 2025.</t>
  </si>
  <si>
    <t>(ID: OTIC-191) PI: MEJORAMIENTO DEL ECOSISTEMA TECNOLÓGICO DE LA SUPERINTENDENCIA DEL SUBSIDIO FAMILIAR. NACIONAL. ACTIVIDAD: ACTUALIZAR LOS PROCESOS DE LA ENTIDAD EN EL MARCO DE LA TRANSFORMACIÓN DIGITAL. OBJETO: PRESTAR LOS SERVICIOS DE SOPORTE, MANTENIMIENTO Y ACTUALIZACIÓN TÉCNICA ESPECIALIZADA DE LA SOLUCIÓN BPM + ECM (SOFTEXPERT EXCELLENCE SUITE), CON EL FIN DE GARANTIZAR LA CONTINUIDAD Y SOSTENIBILIDAD DE LA PLATAFORMA PARA LA SUPERINTENDENCIA DEL SUBSIDIO FAMILIAR.</t>
  </si>
  <si>
    <t xml:space="preserve">	(ID: OAJ-448) PRESTAR LOS SERVICIOS PROFESIONALES PARA APOYAR LA DINÁMICA DE LAS FUNCIONES QUE EJERCE LA OFICINA ASESORA JURÍDICA, DE LA SUPERINTENDENCIA DEL SUBSIDIO FAMILIAR, AL IGUAL QUE LAS ACCIONES MISIONALES QUE SON INHERENTES A LOS PROCESOS.</t>
  </si>
  <si>
    <t>(ID: GGC-471) PRESTAR SERVICIOS JURIDICOS PARA EL APOYO DE TRAMITES PROPIOS QUE ADELANTE EL GRUPO DE GESTIÓN CONTRACTUAL.</t>
  </si>
  <si>
    <t>(ID: OTIC-205) PI: MEJORAMIENTO DEL ECOSISTEMA TECNOLÓGICO DE LA SUPERINTENDENCIA DEL SUBSIDIO FAMILIAR. NACIONAL. ACTIVIDAD: REALIZAR LA MODERNIZACIÓN DE LA INFRAESTRUCTURA TECNOLÓGICA SEGURA, CONFIABLE Y DIMENSIONADA EN CAPACIDAD Y DISPONIBILIDAD REQUERIDA. OBJETO: CONTRATAR EL SERVICIO DE MICROSOFT UNIFIED SUPPORT PARA LA INFRAESTRUCTURA TECNOLÓGICA DE LA SUPERINTENDENCIA DEL SUBSIDIO FAMILIAR.</t>
  </si>
  <si>
    <t>(ID: UNIF-403) PI: FORTALECIMIENTO DEL RELACIONAMIENTO CON LA CIUDADANÍA Y LOS GRUPOS DE VALOR DEL SISTEMA DEL SUBSIDIO FAMILIAR A NIVEL NACIONAL. ACTIVIDAD: REALIZAR EL ANÁLISIS, MEJORAS E IMPLEMENTACIÓN DE LAS HERRAMIENTAS DE RELACIONAMIENTO AL CIUDADANO DE LA ENTIDAD. PI: MODERNIZACIÓN DE LA INSPECCIÓN, VIGILANCIA Y CONTROL DE LA SUPERINTENDENCIA DEL SUBSIDIO FAMILIAR. ACTIVIDAD: REALIZAR LA ACTUALIZACIÓN Y MEJORAS DE LA HERRAMIENTA TECNOLÓGICA DE CONSULTA NORMATIVA SOBRE EL SISTEMA DEL SUBSIDIO FAMILIAR. PI: IMPLEMENTACIÓN DEL MODELO DE PLANEACIÓN Y GESTIÓN EN EL MARCO DE LA ARQUITECTURA EMPRESARIAL DE LA SUPERINTENDENCIA DEL SUBSIDIO FAMILIAR NACIONAL. ACTIVIDAD: REALIZAR LA IMPLEMENTACIÓN DE MAPA DE RUTA DE ARQUITECTURA DE LA SSF. PI: MEJORAMIENTO DEL ECOSISTEMA TECNOLÓGICO DE LA SUPERINTENDENCIA DEL SUBSIDIO FAMILIAR. NACIONAL. ACTIVIDAD: ESTABLECER LA ARQUITECTURA PARA LA SEGURIDAD DE LA INFORMACIÓN. ACTIVIDAD: REALIZAR LA MODERNIZACIÓN DE LA INFRAESTRUCTURA TECNOLÓGICA SEGURA, CONFIABLE Y DIMENSIONADA EN CAPACIDAD Y DISPONIBILIDAD REQUERIDA. OBJETO: PRESTAR SERVICIOS PARA HABILITAR Y FORTALECER LOS RECURSOS TECNOLÓGICOS, CON EL FIN DE OPTIMIZAR LA CAPACIDAD Y DESEMPEÑO DE LAS SOLUCIONES DE TI EN NUBE COMPUTACIONAL.</t>
  </si>
  <si>
    <t>(ID: OAP-480) PI: IMPLEMENTACIÓN DEL MODELO DE PLANEACIÓN Y GESTIÓN EN EL MARCO DE LA ARQUITECTURA EMPRESARIAL DE LA SUPERINTENDENCIA DEL SUBSIDIO FAMILIAR NACIONAL. ACTIVIDAD: ARTICULAR LA OPERACIÓN DE LOS SISTEMAS DE GESTIÓN CON LOS REQUISITOS DEL MODELO INTEGRADO DE PLANEACIÓN Y GESTIÓN- ACTIVIDAD: REALIZAR EL MANTENIMIENTO Y MEJORA DEL SISTEMA DE GESTIÓN DE CALIDAD PARA LA ADMINISTRACIÓN, OPTIMIZACIÓN, SENSIBILIZACIÓN Y OPERACIÓN DE ESTE. OBJETO: PRESTAR SERVICIOS PROFESIONALES A LA OFICINA ASESORA DE PLANEACIÓN EN LA ARTICULACIÓN DE LAS POLITICAS INSTITUCIONALES EN EL MARCO DEL MIPG Y SISTEMA DE GESTIÓN DE CALIDAD DE LA ENTIDAD</t>
  </si>
  <si>
    <t>(ID: UNIF-474) PI: MEJORAMIENTO DEL ECOSISTEMA TECNOLÓGICO DE LA SUPERINTENDENCIA DEL SUBSIDIO FAMILIAR. NACIONAL. ACTIVIDAD: ACTUALIZAR LOS PROCESOS DE LA ENTIDAD EN EL MARCO DE LA TRANSFORMACIÓN DIGITAL. ACTIVIDAD: REALIZAR MEJORAS DE LOS SISTEMAS DE INFORMACIÓN DE APOYO A LA INSPECCIÓN VIGILANCIA Y CONTROL COMO PROPUESTA DE VALOR A LAS NECESIDADES DE LAS ÁREAS MISIONALES. ACTIVIDAD: REALIZAR EL ANÁLISIS, PROCESAMIENTO, CATEGORIZACIÓN Y UTILIZACIÓN DE DATOS PARA LA TOMA DE DECISIONES Y GESTIÓN ESTRATÉGICA. PI: FORTALECIMIENTO DEL RELACIONAMIENTO CON LA CIUDADANÍA Y LOS GRUPOS DE VALOR DEL SISTEMA DEL SUBSIDIO FAMILIAR A NIVEL NACIONAL. ACTIVIDAD: FORTALECER LOS CANALES DE ATENCIÓN Y EL RELACIONAMIENTO CON EL CIUDADANO A TRAVÉS DE LA PRESENCIA INSTITUCIONAL EN EL TERRITORIO NACIONAL. OBJETO: ADQUIRIR PANTALLAS INTERACTIVAS Y MÓDULO OPS, PARA FORTALECER PROCESOS DE CAPACITACIÓN, REUNIONES Y VIDEOCONFERENCIAS, ADEMÁS DE LOS CANALES INTERNOS Y EXTERNOS DE LA SUPERINTENDENCIA DEL SUBSIDIO FAMILIAR.</t>
  </si>
  <si>
    <t>(ID: GGTH-492) PI: IMPLEMENTACIÓN DEL MODELO DE PLANEACIÓN Y GESTIÓN EN EL MARCO DE LA ARQUITECTURA EMPRESARIAL DE LA SUPERINTENDENCIA DEL SUBSIDIO FAMILIAR NACIONAL. ACTIVIDAD: IMPLEMENTAR ESTRATEGIAS QUE PERMITAN EL DESARROLLO ORGANIZACIONAL DE LOS SERVIDORES. OBJETO: CONTRATAR LA PRESTACIÓN DE SERVICIOS PROFESIONALES, PARA APOYAR EN LA FORMULACIÓN Y DISEÑO DE LOS PLANES INSTITUCIONALES AL GRUPO DE GESTIÓN DEL TALENTO HUMANO DE LA SUPERINTENDENCIA DEL SUBSIDIO FAMILIAR.</t>
  </si>
  <si>
    <t xml:space="preserve">(ID: OAP-489) PI: IMPLEMENTACIÓN DEL MODELO DE PLANEACIÓN Y GESTIÓN EN EL MARCO DE LA ARQUITECTURA EMPRESARIAL DE LA SUPERINTENDENCIA DEL SUBSIDIO FAMILIAR NACIONAL. ACTIVIDAD: IMPLEMENTAR HERRAMIENTAS QUE GARANTICEN LA PARTICIPACIÓN CIUDADANA Y PROMUEVAN EL CONTROL SOCIAL. OBJETO: PRESTAR SERVICIOS PROFESIONALES A LA OFICINA ASESORA DE PLANEACIÓN EN EL PROCESO DE RENDICIÓN DE CUENTAS Y LA POLÍTICA DE TRANSPARENCIA Y ACCESO A LA INFORMACIÓN PÚBLICA DE LA ENTIDAD </t>
  </si>
  <si>
    <t>$ 7.210.000</t>
  </si>
  <si>
    <t>$6.695.000</t>
  </si>
  <si>
    <t>$9.373.000</t>
  </si>
  <si>
    <t>CONTRATO RECHAZADO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</si>
</sst>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8" formatCode="&quot;$&quot;#,##0.00;[Red]\-&quot;$&quot;#,##0.00"/>
    <numFmt numFmtId="42" formatCode="_-&quot;$&quot;* #,##0_-;\-&quot;$&quot;* #,##0_-;_-&quot;$&quot;* &quot;-&quot;_-;_-@_-"/>
    <numFmt numFmtId="43" formatCode="_-* #,##0.00_-;\-* #,##0.00_-;_-* &quot;-&quot;??_-;_-@_-"/>
    <numFmt numFmtId="164" formatCode="&quot;$&quot;\ #,##0.00;[Red]\-&quot;$&quot;\ #,##0.00"/>
    <numFmt numFmtId="165" formatCode="_-&quot;$&quot;\ * #,##0.00_-;\-&quot;$&quot;\ * #,##0.00_-;_-&quot;$&quot;\ * &quot;-&quot;??_-;_-@_-"/>
    <numFmt numFmtId="166" formatCode="_-* #,##0_-;\-* #,##0_-;_-* &quot;-&quot;??_-;_-@_-"/>
    <numFmt numFmtId="167" formatCode="dd/mm/yyyy;@"/>
    <numFmt numFmtId="168" formatCode="_-[$$-240A]\ * #,##0.00_-;\-[$$-240A]\ * #,##0.00_-;_-[$$-240A]\ * &quot;-&quot;??_-;_-@_-"/>
    <numFmt numFmtId="169" formatCode="_-[$$-240A]\ * #,##0_-;\-[$$-240A]\ * #,##0_-;_-[$$-240A]\ * &quot;-&quot;??_-;_-@_-"/>
  </numFmts>
  <fonts count="6" x14ac:knownFonts="1">
    <font>
      <sz val="11"/>
      <color theme="1"/>
      <name val="Calibri"/>
      <family val="2"/>
      <scheme val="minor"/>
    </font>
    <font>
      <sz val="11"/>
      <color theme="1"/>
      <name val="Calibri"/>
      <family val="2"/>
      <scheme val="minor"/>
    </font>
    <font>
      <sz val="10"/>
      <color theme="1"/>
      <name val="Calibri"/>
      <family val="2"/>
      <scheme val="minor"/>
    </font>
    <font>
      <sz val="12"/>
      <color theme="1"/>
      <name val="Aptos Narrow"/>
      <family val="2"/>
    </font>
    <font>
      <sz val="11"/>
      <color theme="1"/>
      <name val="Calibri"/>
      <family val="2"/>
    </font>
    <font>
      <sz val="11"/>
      <color rgb="FF000000"/>
      <name val="Calibri"/>
      <family val="2"/>
    </font>
  </fonts>
  <fills count="3">
    <fill>
      <patternFill patternType="none"/>
    </fill>
    <fill>
      <patternFill patternType="gray125"/>
    </fill>
    <fill>
      <patternFill patternType="solid">
        <fgColor theme="4"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bottom style="thin">
        <color indexed="64"/>
      </bottom>
      <diagonal/>
    </border>
  </borders>
  <cellStyleXfs count="5">
    <xf numFmtId="0" fontId="0" fillId="0" borderId="0"/>
    <xf numFmtId="165"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cellStyleXfs>
  <cellXfs count="69">
    <xf numFmtId="0" fontId="0" fillId="0" borderId="0" xfId="0"/>
    <xf numFmtId="10" fontId="0" fillId="0" borderId="1" xfId="2" applyNumberFormat="1" applyFont="1" applyFill="1" applyBorder="1" applyAlignment="1">
      <alignment horizontal="center" vertical="center"/>
    </xf>
    <xf numFmtId="165" fontId="0" fillId="0" borderId="1" xfId="1" applyFont="1" applyFill="1" applyBorder="1" applyAlignment="1">
      <alignment horizontal="center" vertical="center" wrapText="1"/>
    </xf>
    <xf numFmtId="165" fontId="0" fillId="0" borderId="1" xfId="1" applyFont="1" applyFill="1" applyBorder="1" applyAlignment="1">
      <alignment horizontal="center" vertical="center"/>
    </xf>
    <xf numFmtId="164" fontId="0" fillId="0" borderId="1" xfId="1" applyNumberFormat="1" applyFont="1" applyFill="1" applyBorder="1" applyAlignment="1">
      <alignment horizontal="center" vertical="center"/>
    </xf>
    <xf numFmtId="165" fontId="0" fillId="0" borderId="0" xfId="1" applyFont="1" applyFill="1" applyAlignment="1">
      <alignment vertical="center"/>
    </xf>
    <xf numFmtId="49" fontId="0" fillId="0" borderId="1" xfId="1" applyNumberFormat="1" applyFont="1" applyFill="1" applyBorder="1" applyAlignment="1">
      <alignment horizontal="center" vertical="center" wrapText="1"/>
    </xf>
    <xf numFmtId="168" fontId="0" fillId="0" borderId="1" xfId="1" applyNumberFormat="1" applyFont="1" applyFill="1" applyBorder="1" applyAlignment="1">
      <alignment horizontal="center" vertical="center" wrapText="1"/>
    </xf>
    <xf numFmtId="168" fontId="0" fillId="0" borderId="1" xfId="4" applyNumberFormat="1" applyFont="1" applyFill="1" applyBorder="1" applyAlignment="1">
      <alignment horizontal="center" vertical="center"/>
    </xf>
    <xf numFmtId="168" fontId="0" fillId="0" borderId="1" xfId="1" applyNumberFormat="1" applyFont="1" applyFill="1" applyBorder="1" applyAlignment="1">
      <alignment horizontal="right" vertical="center" wrapText="1"/>
    </xf>
    <xf numFmtId="166" fontId="0" fillId="0" borderId="1" xfId="3"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165" fontId="0" fillId="2" borderId="1" xfId="1" applyFont="1" applyFill="1" applyBorder="1" applyAlignment="1">
      <alignment horizontal="center" vertical="center" wrapText="1"/>
    </xf>
    <xf numFmtId="165" fontId="2" fillId="2" borderId="1" xfId="1" applyFont="1" applyFill="1" applyBorder="1" applyAlignment="1">
      <alignment horizontal="center" vertical="center" wrapText="1"/>
    </xf>
    <xf numFmtId="0" fontId="0" fillId="0" borderId="1" xfId="1" applyNumberFormat="1" applyFont="1" applyFill="1" applyBorder="1" applyAlignment="1">
      <alignment horizontal="center" vertical="center" wrapText="1"/>
    </xf>
    <xf numFmtId="168" fontId="0" fillId="0" borderId="1" xfId="4" applyNumberFormat="1" applyFont="1" applyFill="1" applyBorder="1" applyAlignment="1">
      <alignment horizontal="center" vertical="center" wrapText="1"/>
    </xf>
    <xf numFmtId="49" fontId="0" fillId="0" borderId="3" xfId="1" applyNumberFormat="1" applyFont="1" applyFill="1" applyBorder="1" applyAlignment="1">
      <alignment horizontal="center" vertical="center" wrapText="1"/>
    </xf>
    <xf numFmtId="169" fontId="0" fillId="0" borderId="1" xfId="1" applyNumberFormat="1" applyFont="1" applyFill="1" applyBorder="1" applyAlignment="1">
      <alignment horizontal="center" vertical="center" wrapText="1"/>
    </xf>
    <xf numFmtId="42" fontId="0" fillId="0" borderId="1" xfId="4"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0" xfId="0" applyFill="1" applyAlignment="1">
      <alignment wrapText="1"/>
    </xf>
    <xf numFmtId="165" fontId="0" fillId="0" borderId="4" xfId="1" applyFont="1" applyFill="1" applyBorder="1" applyAlignment="1">
      <alignment horizontal="center" vertical="center" wrapText="1"/>
    </xf>
    <xf numFmtId="165" fontId="0" fillId="0" borderId="10" xfId="1" applyFont="1" applyFill="1" applyBorder="1" applyAlignment="1">
      <alignment horizontal="center" vertical="center" wrapText="1"/>
    </xf>
    <xf numFmtId="165" fontId="0" fillId="0" borderId="8" xfId="1" applyFont="1" applyFill="1" applyBorder="1" applyAlignment="1">
      <alignment horizontal="center" vertical="center" wrapText="1"/>
    </xf>
    <xf numFmtId="165" fontId="0" fillId="0" borderId="9" xfId="1" applyFont="1" applyFill="1" applyBorder="1" applyAlignment="1">
      <alignment horizontal="center" vertical="center" wrapText="1"/>
    </xf>
    <xf numFmtId="49" fontId="0" fillId="0" borderId="4" xfId="1" applyNumberFormat="1" applyFont="1" applyFill="1" applyBorder="1" applyAlignment="1">
      <alignment horizontal="center" vertical="center" wrapText="1"/>
    </xf>
    <xf numFmtId="165" fontId="0" fillId="0" borderId="2" xfId="1" applyFont="1" applyFill="1" applyBorder="1" applyAlignment="1">
      <alignment horizontal="center" vertical="center" wrapText="1"/>
    </xf>
    <xf numFmtId="164" fontId="0" fillId="0" borderId="1" xfId="1" applyNumberFormat="1" applyFont="1" applyFill="1" applyBorder="1" applyAlignment="1">
      <alignment horizontal="center" vertical="center" wrapText="1"/>
    </xf>
    <xf numFmtId="165" fontId="0" fillId="0" borderId="3" xfId="1" applyFont="1" applyFill="1" applyBorder="1" applyAlignment="1">
      <alignment horizontal="center" vertical="center" wrapText="1"/>
    </xf>
    <xf numFmtId="165" fontId="0" fillId="0" borderId="7" xfId="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justify" vertical="center" wrapText="1"/>
    </xf>
    <xf numFmtId="14" fontId="0" fillId="0" borderId="1" xfId="0" applyNumberFormat="1" applyFill="1" applyBorder="1" applyAlignment="1">
      <alignment horizontal="center" vertical="center" wrapText="1"/>
    </xf>
    <xf numFmtId="167" fontId="0" fillId="0" borderId="1" xfId="0" applyNumberFormat="1" applyFill="1" applyBorder="1" applyAlignment="1">
      <alignment horizontal="center" vertical="center" wrapText="1"/>
    </xf>
    <xf numFmtId="1" fontId="0" fillId="0" borderId="1" xfId="0" applyNumberFormat="1" applyFill="1" applyBorder="1" applyAlignment="1">
      <alignment horizontal="center" vertical="center" wrapText="1"/>
    </xf>
    <xf numFmtId="0" fontId="0" fillId="0" borderId="0" xfId="0" applyFill="1"/>
    <xf numFmtId="0" fontId="0" fillId="0" borderId="4" xfId="0" applyFill="1" applyBorder="1" applyAlignment="1">
      <alignment horizontal="center" vertical="center" wrapText="1"/>
    </xf>
    <xf numFmtId="0" fontId="0" fillId="0" borderId="2" xfId="0" applyFill="1" applyBorder="1" applyAlignment="1">
      <alignment horizontal="center" vertical="center" wrapText="1"/>
    </xf>
    <xf numFmtId="0" fontId="0" fillId="0" borderId="1" xfId="0" applyFill="1" applyBorder="1"/>
    <xf numFmtId="0" fontId="2" fillId="0" borderId="1" xfId="0" applyFont="1" applyFill="1" applyBorder="1" applyAlignment="1">
      <alignment horizontal="center" vertical="center" wrapText="1"/>
    </xf>
    <xf numFmtId="0" fontId="0" fillId="0" borderId="0" xfId="0" applyFill="1" applyAlignment="1">
      <alignment wrapText="1"/>
    </xf>
    <xf numFmtId="0" fontId="2" fillId="0" borderId="2" xfId="0" applyFont="1" applyFill="1" applyBorder="1" applyAlignment="1">
      <alignment horizontal="center" vertical="center" wrapText="1"/>
    </xf>
    <xf numFmtId="0" fontId="0" fillId="0" borderId="6" xfId="0" applyFill="1" applyBorder="1" applyAlignment="1">
      <alignment horizontal="center" vertical="center" wrapText="1"/>
    </xf>
    <xf numFmtId="8"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0" fontId="0" fillId="0" borderId="5" xfId="0" applyFill="1" applyBorder="1" applyAlignment="1">
      <alignment horizontal="center" vertical="center" wrapText="1"/>
    </xf>
    <xf numFmtId="3" fontId="3" fillId="0" borderId="4" xfId="0" applyNumberFormat="1" applyFont="1" applyFill="1" applyBorder="1" applyAlignment="1">
      <alignment horizontal="center" vertical="center"/>
    </xf>
    <xf numFmtId="14" fontId="3" fillId="0" borderId="4" xfId="0" applyNumberFormat="1" applyFont="1" applyFill="1" applyBorder="1" applyAlignment="1">
      <alignment horizontal="center" vertical="center"/>
    </xf>
    <xf numFmtId="3" fontId="3" fillId="0" borderId="0" xfId="0" applyNumberFormat="1" applyFont="1" applyFill="1" applyAlignment="1">
      <alignment horizontal="center" vertical="center"/>
    </xf>
    <xf numFmtId="6" fontId="0" fillId="0" borderId="1" xfId="0" applyNumberFormat="1" applyFill="1" applyBorder="1" applyAlignment="1">
      <alignment horizontal="center" vertical="center" wrapText="1"/>
    </xf>
    <xf numFmtId="0" fontId="0" fillId="0" borderId="3" xfId="0" applyFill="1" applyBorder="1" applyAlignment="1">
      <alignment horizontal="center" vertical="center" wrapText="1"/>
    </xf>
    <xf numFmtId="0" fontId="0" fillId="0" borderId="0" xfId="0" applyFill="1" applyBorder="1"/>
    <xf numFmtId="165" fontId="0" fillId="0" borderId="11" xfId="1" applyFont="1" applyFill="1" applyBorder="1" applyAlignment="1">
      <alignment horizontal="center" vertical="center" wrapText="1"/>
    </xf>
    <xf numFmtId="165" fontId="0" fillId="0" borderId="12" xfId="1" applyFont="1" applyFill="1" applyBorder="1" applyAlignment="1">
      <alignment horizontal="center" vertical="center" wrapText="1"/>
    </xf>
    <xf numFmtId="0" fontId="0" fillId="0" borderId="13" xfId="0" applyFill="1" applyBorder="1"/>
    <xf numFmtId="42" fontId="2" fillId="0" borderId="4" xfId="0" applyNumberFormat="1" applyFont="1" applyFill="1" applyBorder="1" applyAlignment="1">
      <alignment vertical="center" wrapText="1"/>
    </xf>
    <xf numFmtId="0" fontId="0" fillId="0" borderId="7" xfId="0" applyFill="1" applyBorder="1" applyAlignment="1">
      <alignment horizontal="center" vertical="center" wrapText="1"/>
    </xf>
    <xf numFmtId="3" fontId="0" fillId="0" borderId="1" xfId="0" applyNumberForma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wrapText="1"/>
    </xf>
    <xf numFmtId="49" fontId="0" fillId="0" borderId="5" xfId="1" applyNumberFormat="1" applyFont="1" applyFill="1" applyBorder="1" applyAlignment="1">
      <alignment horizontal="center" vertical="center" wrapText="1"/>
    </xf>
    <xf numFmtId="14" fontId="0" fillId="0" borderId="5" xfId="0" applyNumberFormat="1" applyFill="1" applyBorder="1" applyAlignment="1">
      <alignment horizontal="center" vertical="center" wrapText="1"/>
    </xf>
    <xf numFmtId="42" fontId="0" fillId="0" borderId="5" xfId="4" applyFont="1" applyFill="1" applyBorder="1" applyAlignment="1">
      <alignment horizontal="center" vertical="center" wrapText="1"/>
    </xf>
    <xf numFmtId="165" fontId="0" fillId="0" borderId="5" xfId="1" applyFont="1" applyFill="1" applyBorder="1" applyAlignment="1">
      <alignment horizontal="center" vertical="center"/>
    </xf>
    <xf numFmtId="10" fontId="0" fillId="0" borderId="5" xfId="2" applyNumberFormat="1" applyFont="1" applyFill="1" applyBorder="1" applyAlignment="1">
      <alignment horizontal="center" vertical="center"/>
    </xf>
    <xf numFmtId="1" fontId="0" fillId="0" borderId="5" xfId="0" applyNumberFormat="1" applyFill="1" applyBorder="1" applyAlignment="1">
      <alignment horizontal="center" vertical="center" wrapText="1"/>
    </xf>
    <xf numFmtId="0" fontId="0" fillId="0" borderId="5" xfId="0" applyFill="1" applyBorder="1"/>
  </cellXfs>
  <cellStyles count="5">
    <cellStyle name="Millares" xfId="3" builtinId="3"/>
    <cellStyle name="Moneda" xfId="1" builtinId="4"/>
    <cellStyle name="Moneda [0]" xfId="4" builtinId="7"/>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javascript:void(0);"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9A691-3C89-4692-A636-5936675C0314}">
  <dimension ref="A1:O1910"/>
  <sheetViews>
    <sheetView tabSelected="1" zoomScale="80" zoomScaleNormal="80" zoomScaleSheetLayoutView="50" workbookViewId="0">
      <pane ySplit="1" topLeftCell="A501" activePane="bottomLeft" state="frozen"/>
      <selection activeCell="E1" sqref="E1"/>
      <selection pane="bottomLeft" activeCell="B501" sqref="B501"/>
    </sheetView>
  </sheetViews>
  <sheetFormatPr baseColWidth="10" defaultColWidth="11.5" defaultRowHeight="15" x14ac:dyDescent="0.2"/>
  <cols>
    <col min="1" max="1" width="29" style="35" customWidth="1"/>
    <col min="2" max="2" width="19" style="35" customWidth="1"/>
    <col min="3" max="3" width="19.5" style="35" customWidth="1"/>
    <col min="4" max="4" width="59.6640625" style="35" bestFit="1" customWidth="1"/>
    <col min="5" max="5" width="17.5" style="35" bestFit="1" customWidth="1"/>
    <col min="6" max="6" width="16.33203125" style="35" bestFit="1" customWidth="1"/>
    <col min="7" max="7" width="20.33203125" style="35" bestFit="1" customWidth="1"/>
    <col min="8" max="8" width="23.1640625" style="35" customWidth="1"/>
    <col min="9" max="9" width="19.83203125" style="35" customWidth="1"/>
    <col min="10" max="10" width="31.5" style="2" bestFit="1" customWidth="1"/>
    <col min="11" max="11" width="23.5" style="5" bestFit="1" customWidth="1"/>
    <col min="12" max="12" width="26.6640625" style="5" bestFit="1" customWidth="1"/>
    <col min="13" max="13" width="27.5" style="35" bestFit="1" customWidth="1"/>
    <col min="14" max="14" width="25.83203125" style="35" bestFit="1" customWidth="1"/>
    <col min="15" max="15" width="41.1640625" style="35" customWidth="1"/>
    <col min="16" max="16" width="16.5" style="35" bestFit="1" customWidth="1"/>
    <col min="17" max="16384" width="11.5" style="35"/>
  </cols>
  <sheetData>
    <row r="1" spans="1:15" s="20" customFormat="1" ht="32" x14ac:dyDescent="0.2">
      <c r="A1" s="19" t="s">
        <v>7</v>
      </c>
      <c r="B1" s="19" t="s">
        <v>8</v>
      </c>
      <c r="C1" s="11" t="s">
        <v>13</v>
      </c>
      <c r="D1" s="19" t="s">
        <v>0</v>
      </c>
      <c r="E1" s="19" t="s">
        <v>1</v>
      </c>
      <c r="F1" s="19" t="s">
        <v>2</v>
      </c>
      <c r="G1" s="19" t="s">
        <v>3</v>
      </c>
      <c r="H1" s="19" t="s">
        <v>4</v>
      </c>
      <c r="I1" s="19" t="s">
        <v>14</v>
      </c>
      <c r="J1" s="12" t="s">
        <v>5</v>
      </c>
      <c r="K1" s="13" t="s">
        <v>9</v>
      </c>
      <c r="L1" s="19" t="s">
        <v>227</v>
      </c>
      <c r="M1" s="11" t="s">
        <v>10</v>
      </c>
      <c r="N1" s="11" t="s">
        <v>11</v>
      </c>
      <c r="O1" s="11" t="s">
        <v>12</v>
      </c>
    </row>
    <row r="2" spans="1:15" s="40" customFormat="1" ht="96" x14ac:dyDescent="0.2">
      <c r="A2" s="30" t="s">
        <v>224</v>
      </c>
      <c r="B2" s="30">
        <v>900051050</v>
      </c>
      <c r="C2" s="39">
        <v>1</v>
      </c>
      <c r="D2" s="31" t="s">
        <v>225</v>
      </c>
      <c r="E2" s="30" t="s">
        <v>585</v>
      </c>
      <c r="F2" s="32"/>
      <c r="G2" s="33"/>
      <c r="H2" s="2">
        <v>1867333918.8</v>
      </c>
      <c r="I2" s="30"/>
      <c r="J2" s="7">
        <f>949171887+62009608+62009608+62009608+62009608+63001761+63001761</f>
        <v>1323213841</v>
      </c>
      <c r="K2" s="3">
        <f>H2-J2</f>
        <v>544120077.79999995</v>
      </c>
      <c r="L2" s="1">
        <f>1-(K2/H2)</f>
        <v>0.70861125997771923</v>
      </c>
      <c r="M2" s="34">
        <v>0</v>
      </c>
      <c r="N2" s="2">
        <v>0</v>
      </c>
      <c r="O2" s="34"/>
    </row>
    <row r="3" spans="1:15" s="40" customFormat="1" ht="48" x14ac:dyDescent="0.2">
      <c r="A3" s="30" t="s">
        <v>734</v>
      </c>
      <c r="B3" s="30">
        <v>900604496</v>
      </c>
      <c r="C3" s="39">
        <v>7</v>
      </c>
      <c r="D3" s="40" t="s">
        <v>735</v>
      </c>
      <c r="E3" s="30" t="s">
        <v>736</v>
      </c>
      <c r="F3" s="32">
        <v>44911</v>
      </c>
      <c r="G3" s="32">
        <v>46234</v>
      </c>
      <c r="H3" s="2">
        <v>95059380</v>
      </c>
      <c r="I3" s="30"/>
      <c r="J3" s="2">
        <v>2018599.99</v>
      </c>
      <c r="K3" s="3">
        <v>0</v>
      </c>
      <c r="L3" s="1">
        <f>1-(K3/H3)</f>
        <v>1</v>
      </c>
      <c r="M3" s="34">
        <v>0</v>
      </c>
      <c r="N3" s="2">
        <v>0</v>
      </c>
      <c r="O3" s="34"/>
    </row>
    <row r="4" spans="1:15" s="40" customFormat="1" ht="48" x14ac:dyDescent="0.2">
      <c r="A4" s="30" t="s">
        <v>583</v>
      </c>
      <c r="B4" s="30">
        <v>800212545</v>
      </c>
      <c r="C4" s="39">
        <v>4</v>
      </c>
      <c r="D4" s="31" t="s">
        <v>586</v>
      </c>
      <c r="E4" s="30" t="s">
        <v>375</v>
      </c>
      <c r="F4" s="32">
        <v>44923</v>
      </c>
      <c r="G4" s="32">
        <v>46234</v>
      </c>
      <c r="H4" s="2">
        <v>2311127326.6799998</v>
      </c>
      <c r="I4" s="30"/>
      <c r="J4" s="7">
        <f>1372143242.68+6376405+1775451+4702194+18212849.5+6622620+2192876.5+21851079+3130921+6227984+1603162+11370987+3877782+2873382+40768828+6213436+2490822+26894412.5+4165472+6137545.5+51288600+29402676+48221417</f>
        <v>1678544144.6800001</v>
      </c>
      <c r="K4" s="3">
        <f>H4-J4</f>
        <v>632583181.99999976</v>
      </c>
      <c r="L4" s="1">
        <f t="shared" ref="L4:L12" si="0">1-(K4/H4)</f>
        <v>0.72628804363248844</v>
      </c>
      <c r="M4" s="34">
        <v>0</v>
      </c>
      <c r="N4" s="2">
        <v>0</v>
      </c>
      <c r="O4" s="31"/>
    </row>
    <row r="5" spans="1:15" s="40" customFormat="1" ht="48" x14ac:dyDescent="0.2">
      <c r="A5" s="30" t="s">
        <v>587</v>
      </c>
      <c r="B5" s="57">
        <v>900470772</v>
      </c>
      <c r="C5" s="39">
        <v>8</v>
      </c>
      <c r="D5" s="31" t="s">
        <v>588</v>
      </c>
      <c r="E5" s="30" t="s">
        <v>584</v>
      </c>
      <c r="F5" s="32">
        <v>44937</v>
      </c>
      <c r="G5" s="32">
        <v>46234</v>
      </c>
      <c r="H5" s="2">
        <v>4277440979</v>
      </c>
      <c r="I5" s="30"/>
      <c r="J5" s="7">
        <f>2616071333+95830107+102114050+102114051+102114051+102114050</f>
        <v>3120357642</v>
      </c>
      <c r="K5" s="3">
        <f>H5-J5+95830107</f>
        <v>1252913444</v>
      </c>
      <c r="L5" s="1">
        <f t="shared" si="0"/>
        <v>0.70708808136660439</v>
      </c>
      <c r="M5" s="34">
        <v>0</v>
      </c>
      <c r="N5" s="2">
        <v>0</v>
      </c>
      <c r="O5" s="31"/>
    </row>
    <row r="6" spans="1:15" s="40" customFormat="1" ht="96" x14ac:dyDescent="0.2">
      <c r="A6" s="30" t="s">
        <v>224</v>
      </c>
      <c r="B6" s="30">
        <v>900051050</v>
      </c>
      <c r="C6" s="39">
        <v>1</v>
      </c>
      <c r="D6" s="31" t="s">
        <v>225</v>
      </c>
      <c r="E6" s="30" t="s">
        <v>226</v>
      </c>
      <c r="F6" s="32">
        <v>44896</v>
      </c>
      <c r="G6" s="33">
        <v>46234</v>
      </c>
      <c r="H6" s="2">
        <v>13974493158</v>
      </c>
      <c r="I6" s="30"/>
      <c r="J6" s="7">
        <f>8824270938+317254984+317254984+317254984+317254984+317254984+317254984+326772632+326772632</f>
        <v>11381346106</v>
      </c>
      <c r="K6" s="3">
        <f>H6-J6</f>
        <v>2593147052</v>
      </c>
      <c r="L6" s="1">
        <f t="shared" si="0"/>
        <v>0.81443713037166598</v>
      </c>
      <c r="M6" s="34">
        <v>0</v>
      </c>
      <c r="N6" s="2">
        <v>0</v>
      </c>
      <c r="O6" s="31"/>
    </row>
    <row r="7" spans="1:15" s="40" customFormat="1" ht="45" customHeight="1" x14ac:dyDescent="0.2">
      <c r="A7" s="30" t="s">
        <v>738</v>
      </c>
      <c r="B7" s="30">
        <v>900062917</v>
      </c>
      <c r="C7" s="41">
        <v>9</v>
      </c>
      <c r="D7" s="31" t="s">
        <v>739</v>
      </c>
      <c r="E7" s="30" t="s">
        <v>737</v>
      </c>
      <c r="F7" s="32">
        <v>44896</v>
      </c>
      <c r="G7" s="33">
        <v>46234</v>
      </c>
      <c r="H7" s="2">
        <v>77787797</v>
      </c>
      <c r="I7" s="30"/>
      <c r="J7" s="7">
        <f>3192816+2411803+2759311+3096135+6038494+6918886+6038494+6918886</f>
        <v>37374825</v>
      </c>
      <c r="K7" s="3">
        <f t="shared" ref="K7:K12" si="1">H7-J7</f>
        <v>40412972</v>
      </c>
      <c r="L7" s="1">
        <f t="shared" si="0"/>
        <v>0.4804715706243744</v>
      </c>
      <c r="M7" s="34">
        <v>0</v>
      </c>
      <c r="N7" s="2">
        <v>0</v>
      </c>
      <c r="O7" s="31"/>
    </row>
    <row r="8" spans="1:15" s="40" customFormat="1" ht="32" x14ac:dyDescent="0.2">
      <c r="A8" s="30" t="s">
        <v>234</v>
      </c>
      <c r="B8" s="30">
        <v>900459737</v>
      </c>
      <c r="C8" s="37">
        <v>5</v>
      </c>
      <c r="D8" s="30" t="s">
        <v>235</v>
      </c>
      <c r="E8" s="30" t="s">
        <v>236</v>
      </c>
      <c r="F8" s="32">
        <v>45245</v>
      </c>
      <c r="G8" s="32">
        <v>46234</v>
      </c>
      <c r="H8" s="2">
        <v>120893102</v>
      </c>
      <c r="I8" s="30"/>
      <c r="J8" s="7">
        <f>3741126+1522078+1614814.74+1592547.76+1511255.11+1920142.17+2564020.57+1467529.42+3610429.9+1662495.26+1561955.7+1662495.26+1561955.7</f>
        <v>25992845.59</v>
      </c>
      <c r="K8" s="3">
        <f>H8-J8</f>
        <v>94900256.409999996</v>
      </c>
      <c r="L8" s="1">
        <f t="shared" si="0"/>
        <v>0.21500685448537837</v>
      </c>
      <c r="M8" s="34">
        <v>0</v>
      </c>
      <c r="N8" s="2">
        <v>0</v>
      </c>
      <c r="O8" s="31"/>
    </row>
    <row r="9" spans="1:15" s="40" customFormat="1" ht="32" x14ac:dyDescent="0.2">
      <c r="A9" s="30" t="s">
        <v>231</v>
      </c>
      <c r="B9" s="30">
        <v>900460759</v>
      </c>
      <c r="C9" s="37">
        <v>9</v>
      </c>
      <c r="D9" s="30" t="s">
        <v>232</v>
      </c>
      <c r="E9" s="30" t="s">
        <v>233</v>
      </c>
      <c r="F9" s="32">
        <v>45276</v>
      </c>
      <c r="G9" s="32">
        <v>45793</v>
      </c>
      <c r="H9" s="2">
        <v>195515787</v>
      </c>
      <c r="I9" s="30"/>
      <c r="J9" s="7">
        <f>5991772+10685517+10685517+10685517.28+5342768.88+5342748.4+5342748.17+2681571.4</f>
        <v>56758160.130000003</v>
      </c>
      <c r="K9" s="3">
        <f t="shared" si="1"/>
        <v>138757626.87</v>
      </c>
      <c r="L9" s="1">
        <f t="shared" si="0"/>
        <v>0.2902996274669114</v>
      </c>
      <c r="M9" s="34">
        <v>0</v>
      </c>
      <c r="N9" s="2">
        <v>0</v>
      </c>
      <c r="O9" s="31"/>
    </row>
    <row r="10" spans="1:15" s="40" customFormat="1" ht="32" x14ac:dyDescent="0.2">
      <c r="A10" s="30" t="s">
        <v>369</v>
      </c>
      <c r="B10" s="30">
        <v>800153993</v>
      </c>
      <c r="C10" s="37">
        <v>7</v>
      </c>
      <c r="D10" s="30" t="s">
        <v>370</v>
      </c>
      <c r="E10" s="30" t="s">
        <v>371</v>
      </c>
      <c r="F10" s="32">
        <v>45399</v>
      </c>
      <c r="G10" s="58">
        <v>45792</v>
      </c>
      <c r="H10" s="2">
        <v>99977850</v>
      </c>
      <c r="I10" s="30"/>
      <c r="J10" s="7">
        <f>9335000+200230+320065.22</f>
        <v>9855295.2200000007</v>
      </c>
      <c r="K10" s="3">
        <f t="shared" si="1"/>
        <v>90122554.780000001</v>
      </c>
      <c r="L10" s="1">
        <f t="shared" si="0"/>
        <v>9.857478651521312E-2</v>
      </c>
      <c r="M10" s="34">
        <v>0</v>
      </c>
      <c r="N10" s="2">
        <v>0</v>
      </c>
      <c r="O10" s="31"/>
    </row>
    <row r="11" spans="1:15" s="40" customFormat="1" ht="32" x14ac:dyDescent="0.2">
      <c r="A11" s="30" t="s">
        <v>369</v>
      </c>
      <c r="B11" s="30">
        <v>800153993</v>
      </c>
      <c r="C11" s="37">
        <v>7</v>
      </c>
      <c r="D11" s="59" t="s">
        <v>372</v>
      </c>
      <c r="E11" s="30" t="s">
        <v>368</v>
      </c>
      <c r="F11" s="32">
        <v>45457</v>
      </c>
      <c r="G11" s="58">
        <v>45728</v>
      </c>
      <c r="H11" s="2">
        <v>54723075</v>
      </c>
      <c r="I11" s="30"/>
      <c r="J11" s="7">
        <f>10944614+10944614+4377847.59</f>
        <v>26267075.59</v>
      </c>
      <c r="K11" s="3">
        <f t="shared" si="1"/>
        <v>28455999.41</v>
      </c>
      <c r="L11" s="1">
        <f t="shared" si="0"/>
        <v>0.47999999250773095</v>
      </c>
      <c r="M11" s="34">
        <v>0</v>
      </c>
      <c r="N11" s="2">
        <v>0</v>
      </c>
      <c r="O11" s="31"/>
    </row>
    <row r="12" spans="1:15" s="40" customFormat="1" ht="48" x14ac:dyDescent="0.2">
      <c r="A12" s="30" t="s">
        <v>229</v>
      </c>
      <c r="B12" s="30">
        <v>901681580</v>
      </c>
      <c r="C12" s="37">
        <v>1</v>
      </c>
      <c r="D12" s="31" t="s">
        <v>228</v>
      </c>
      <c r="E12" s="30" t="s">
        <v>230</v>
      </c>
      <c r="F12" s="32">
        <v>45622</v>
      </c>
      <c r="G12" s="32">
        <v>45741</v>
      </c>
      <c r="H12" s="2">
        <v>176513861.94</v>
      </c>
      <c r="I12" s="30"/>
      <c r="J12" s="7">
        <f>32419463+41422834</f>
        <v>73842297</v>
      </c>
      <c r="K12" s="3">
        <f t="shared" si="1"/>
        <v>102671564.94</v>
      </c>
      <c r="L12" s="1">
        <f t="shared" si="0"/>
        <v>0.41833709935540486</v>
      </c>
      <c r="M12" s="34">
        <v>0</v>
      </c>
      <c r="N12" s="2">
        <v>0</v>
      </c>
      <c r="O12" s="31"/>
    </row>
    <row r="13" spans="1:15" ht="64" x14ac:dyDescent="0.2">
      <c r="A13" s="30" t="s">
        <v>15</v>
      </c>
      <c r="B13" s="60">
        <v>1081817848</v>
      </c>
      <c r="C13" s="30">
        <v>1</v>
      </c>
      <c r="D13" s="31" t="s">
        <v>24</v>
      </c>
      <c r="E13" s="30" t="s">
        <v>33</v>
      </c>
      <c r="F13" s="32">
        <v>45679</v>
      </c>
      <c r="G13" s="33">
        <v>45737</v>
      </c>
      <c r="H13" s="2">
        <v>17510000</v>
      </c>
      <c r="I13" s="2">
        <v>8755000</v>
      </c>
      <c r="J13" s="2">
        <f>I13+2626500+6128500</f>
        <v>17510000</v>
      </c>
      <c r="K13" s="3">
        <f>H13-J13</f>
        <v>0</v>
      </c>
      <c r="L13" s="1">
        <f t="shared" ref="L13:L22" si="2">1-(K13/H13)</f>
        <v>1</v>
      </c>
      <c r="M13" s="34">
        <v>0</v>
      </c>
      <c r="N13" s="2">
        <v>0</v>
      </c>
      <c r="O13" s="31"/>
    </row>
    <row r="14" spans="1:15" ht="80" x14ac:dyDescent="0.2">
      <c r="A14" s="30" t="s">
        <v>16</v>
      </c>
      <c r="B14" s="30">
        <v>1032431123</v>
      </c>
      <c r="C14" s="30">
        <v>4</v>
      </c>
      <c r="D14" s="31" t="s">
        <v>25</v>
      </c>
      <c r="E14" s="30" t="s">
        <v>34</v>
      </c>
      <c r="F14" s="32">
        <v>45679</v>
      </c>
      <c r="G14" s="33">
        <v>46022</v>
      </c>
      <c r="H14" s="2">
        <v>128029000</v>
      </c>
      <c r="I14" s="2">
        <v>11330000</v>
      </c>
      <c r="J14" s="7">
        <f>94039000+I14+I14</f>
        <v>116699000</v>
      </c>
      <c r="K14" s="3">
        <f t="shared" ref="K14:K22" si="3">H14-J14</f>
        <v>11330000</v>
      </c>
      <c r="L14" s="1">
        <f t="shared" si="2"/>
        <v>0.91150442477876104</v>
      </c>
      <c r="M14" s="34">
        <v>0</v>
      </c>
      <c r="N14" s="2">
        <v>0</v>
      </c>
      <c r="O14" s="31"/>
    </row>
    <row r="15" spans="1:15" ht="64" x14ac:dyDescent="0.2">
      <c r="A15" s="30" t="s">
        <v>17</v>
      </c>
      <c r="B15" s="30">
        <v>1018454656</v>
      </c>
      <c r="C15" s="30">
        <v>6</v>
      </c>
      <c r="D15" s="31" t="s">
        <v>26</v>
      </c>
      <c r="E15" s="30" t="s">
        <v>35</v>
      </c>
      <c r="F15" s="32">
        <v>45679</v>
      </c>
      <c r="G15" s="33">
        <v>46022</v>
      </c>
      <c r="H15" s="2">
        <v>120767500</v>
      </c>
      <c r="I15" s="2">
        <v>10815000</v>
      </c>
      <c r="J15" s="8">
        <f>89764500+I15+I15</f>
        <v>111394500</v>
      </c>
      <c r="K15" s="3">
        <f t="shared" si="3"/>
        <v>9373000</v>
      </c>
      <c r="L15" s="1">
        <f t="shared" si="2"/>
        <v>0.92238805970149251</v>
      </c>
      <c r="M15" s="34">
        <v>0</v>
      </c>
      <c r="N15" s="2">
        <v>0</v>
      </c>
      <c r="O15" s="31"/>
    </row>
    <row r="16" spans="1:15" ht="80" x14ac:dyDescent="0.2">
      <c r="A16" s="30" t="s">
        <v>18</v>
      </c>
      <c r="B16" s="30">
        <v>1100950879</v>
      </c>
      <c r="C16" s="30">
        <v>6</v>
      </c>
      <c r="D16" s="31" t="s">
        <v>27</v>
      </c>
      <c r="E16" s="30" t="s">
        <v>36</v>
      </c>
      <c r="F16" s="32">
        <v>45680</v>
      </c>
      <c r="G16" s="33">
        <v>46022</v>
      </c>
      <c r="H16" s="2">
        <v>98639667</v>
      </c>
      <c r="I16" s="2">
        <v>8755000</v>
      </c>
      <c r="J16" s="8">
        <f>72374667+I16+I16</f>
        <v>89884667</v>
      </c>
      <c r="K16" s="3">
        <f t="shared" si="3"/>
        <v>8755000</v>
      </c>
      <c r="L16" s="1">
        <f t="shared" si="2"/>
        <v>0.91124260385023403</v>
      </c>
      <c r="M16" s="34">
        <v>0</v>
      </c>
      <c r="N16" s="2">
        <v>0</v>
      </c>
      <c r="O16" s="31"/>
    </row>
    <row r="17" spans="1:15" ht="64" x14ac:dyDescent="0.2">
      <c r="A17" s="30" t="s">
        <v>19</v>
      </c>
      <c r="B17" s="30">
        <v>53106586</v>
      </c>
      <c r="C17" s="30">
        <v>3</v>
      </c>
      <c r="D17" s="31" t="s">
        <v>28</v>
      </c>
      <c r="E17" s="30" t="s">
        <v>37</v>
      </c>
      <c r="F17" s="32">
        <v>45681</v>
      </c>
      <c r="G17" s="33">
        <v>45739</v>
      </c>
      <c r="H17" s="2">
        <v>17510000</v>
      </c>
      <c r="I17" s="2">
        <v>8755000</v>
      </c>
      <c r="J17" s="2">
        <f>I17+2042833+6712167</f>
        <v>17510000</v>
      </c>
      <c r="K17" s="3">
        <f t="shared" si="3"/>
        <v>0</v>
      </c>
      <c r="L17" s="1">
        <f t="shared" si="2"/>
        <v>1</v>
      </c>
      <c r="M17" s="34">
        <v>0</v>
      </c>
      <c r="N17" s="2">
        <v>0</v>
      </c>
      <c r="O17" s="31"/>
    </row>
    <row r="18" spans="1:15" ht="64" x14ac:dyDescent="0.2">
      <c r="A18" s="30" t="s">
        <v>20</v>
      </c>
      <c r="B18" s="30">
        <v>52786047</v>
      </c>
      <c r="C18" s="30">
        <v>8</v>
      </c>
      <c r="D18" s="31" t="s">
        <v>29</v>
      </c>
      <c r="E18" s="30" t="s">
        <v>38</v>
      </c>
      <c r="F18" s="32">
        <v>45684</v>
      </c>
      <c r="G18" s="33">
        <v>45742</v>
      </c>
      <c r="H18" s="2">
        <v>17510000</v>
      </c>
      <c r="I18" s="2">
        <v>8755000</v>
      </c>
      <c r="J18" s="2">
        <f>I18+1167333+7587667</f>
        <v>17510000</v>
      </c>
      <c r="K18" s="3">
        <f t="shared" si="3"/>
        <v>0</v>
      </c>
      <c r="L18" s="1">
        <f t="shared" si="2"/>
        <v>1</v>
      </c>
      <c r="M18" s="34">
        <v>0</v>
      </c>
      <c r="N18" s="2">
        <v>0</v>
      </c>
      <c r="O18" s="31"/>
    </row>
    <row r="19" spans="1:15" ht="96" x14ac:dyDescent="0.2">
      <c r="A19" s="30" t="s">
        <v>21</v>
      </c>
      <c r="B19" s="30">
        <v>1110534895</v>
      </c>
      <c r="C19" s="30">
        <v>7</v>
      </c>
      <c r="D19" s="31" t="s">
        <v>30</v>
      </c>
      <c r="E19" s="30" t="s">
        <v>39</v>
      </c>
      <c r="F19" s="32">
        <v>45685</v>
      </c>
      <c r="G19" s="33">
        <v>45988</v>
      </c>
      <c r="H19" s="2">
        <v>82400000</v>
      </c>
      <c r="I19" s="2">
        <v>8240000</v>
      </c>
      <c r="J19" s="7">
        <f>I19+824000+8240000+I19+I19+I19+I19+I19+I19+I19</f>
        <v>74984000</v>
      </c>
      <c r="K19" s="3">
        <f>H19-J19+8240000</f>
        <v>15656000</v>
      </c>
      <c r="L19" s="1">
        <f t="shared" si="2"/>
        <v>0.81</v>
      </c>
      <c r="M19" s="34">
        <v>0</v>
      </c>
      <c r="N19" s="2">
        <v>0</v>
      </c>
      <c r="O19" s="31"/>
    </row>
    <row r="20" spans="1:15" ht="48" x14ac:dyDescent="0.2">
      <c r="A20" s="30" t="s">
        <v>42</v>
      </c>
      <c r="B20" s="30">
        <v>830001113</v>
      </c>
      <c r="C20" s="30">
        <v>1</v>
      </c>
      <c r="D20" s="31" t="s">
        <v>43</v>
      </c>
      <c r="E20" s="30" t="s">
        <v>44</v>
      </c>
      <c r="F20" s="32">
        <v>45691</v>
      </c>
      <c r="G20" s="33">
        <v>46022</v>
      </c>
      <c r="H20" s="2">
        <v>25000000</v>
      </c>
      <c r="I20" s="2">
        <v>25000000</v>
      </c>
      <c r="J20" s="7">
        <f>6485100+9610500+5170000+9422600</f>
        <v>30688200</v>
      </c>
      <c r="K20" s="3">
        <f t="shared" si="3"/>
        <v>-5688200</v>
      </c>
      <c r="L20" s="1">
        <f t="shared" si="2"/>
        <v>1.227528</v>
      </c>
      <c r="M20" s="34">
        <v>0</v>
      </c>
      <c r="N20" s="2">
        <v>0</v>
      </c>
      <c r="O20" s="31"/>
    </row>
    <row r="21" spans="1:15" ht="80" x14ac:dyDescent="0.2">
      <c r="A21" s="30" t="s">
        <v>22</v>
      </c>
      <c r="B21" s="30">
        <v>1055228274</v>
      </c>
      <c r="C21" s="30">
        <v>2</v>
      </c>
      <c r="D21" s="31" t="s">
        <v>31</v>
      </c>
      <c r="E21" s="30" t="s">
        <v>40</v>
      </c>
      <c r="F21" s="32">
        <v>45687</v>
      </c>
      <c r="G21" s="33">
        <v>45745</v>
      </c>
      <c r="H21" s="2">
        <v>12360000</v>
      </c>
      <c r="I21" s="2">
        <v>6180000</v>
      </c>
      <c r="J21" s="2">
        <f>206000+6180000+5974000</f>
        <v>12360000</v>
      </c>
      <c r="K21" s="3">
        <f t="shared" si="3"/>
        <v>0</v>
      </c>
      <c r="L21" s="1">
        <f t="shared" si="2"/>
        <v>1</v>
      </c>
      <c r="M21" s="34">
        <v>0</v>
      </c>
      <c r="N21" s="2">
        <v>0</v>
      </c>
      <c r="O21" s="31"/>
    </row>
    <row r="22" spans="1:15" ht="80" x14ac:dyDescent="0.2">
      <c r="A22" s="30" t="s">
        <v>23</v>
      </c>
      <c r="B22" s="30">
        <v>79443118</v>
      </c>
      <c r="C22" s="30">
        <v>9</v>
      </c>
      <c r="D22" s="31" t="s">
        <v>32</v>
      </c>
      <c r="E22" s="30" t="s">
        <v>41</v>
      </c>
      <c r="F22" s="32">
        <v>45687</v>
      </c>
      <c r="G22" s="33">
        <v>45745</v>
      </c>
      <c r="H22" s="2">
        <v>16480000</v>
      </c>
      <c r="I22" s="2">
        <v>8240000</v>
      </c>
      <c r="J22" s="2">
        <f>274667+I22+7965333</f>
        <v>16480000</v>
      </c>
      <c r="K22" s="3">
        <f t="shared" si="3"/>
        <v>0</v>
      </c>
      <c r="L22" s="1">
        <f t="shared" si="2"/>
        <v>1</v>
      </c>
      <c r="M22" s="34">
        <v>0</v>
      </c>
      <c r="N22" s="2">
        <v>0</v>
      </c>
      <c r="O22" s="31"/>
    </row>
    <row r="23" spans="1:15" ht="64" x14ac:dyDescent="0.2">
      <c r="A23" s="50" t="s">
        <v>105</v>
      </c>
      <c r="B23" s="30">
        <v>35529449</v>
      </c>
      <c r="C23" s="30">
        <v>2</v>
      </c>
      <c r="D23" s="31" t="s">
        <v>164</v>
      </c>
      <c r="E23" s="30" t="s">
        <v>45</v>
      </c>
      <c r="F23" s="32">
        <v>45693</v>
      </c>
      <c r="G23" s="33">
        <v>45751</v>
      </c>
      <c r="H23" s="2">
        <v>17510000</v>
      </c>
      <c r="I23" s="2">
        <v>8755000</v>
      </c>
      <c r="J23" s="2">
        <f>7587667+9922333</f>
        <v>17510000</v>
      </c>
      <c r="K23" s="3">
        <f t="shared" ref="K23:K83" si="4">H23-J23</f>
        <v>0</v>
      </c>
      <c r="L23" s="1">
        <f t="shared" ref="L23:L83" si="5">1-(K23/H23)</f>
        <v>1</v>
      </c>
      <c r="M23" s="34">
        <v>0</v>
      </c>
      <c r="N23" s="2">
        <v>0</v>
      </c>
      <c r="O23" s="31"/>
    </row>
    <row r="24" spans="1:15" ht="112" x14ac:dyDescent="0.2">
      <c r="A24" s="36" t="s">
        <v>106</v>
      </c>
      <c r="B24" s="30">
        <v>52219533</v>
      </c>
      <c r="C24" s="30">
        <v>5</v>
      </c>
      <c r="D24" s="31" t="s">
        <v>165</v>
      </c>
      <c r="E24" s="30" t="s">
        <v>46</v>
      </c>
      <c r="F24" s="32">
        <v>45694</v>
      </c>
      <c r="G24" s="33">
        <v>45752</v>
      </c>
      <c r="H24" s="2">
        <v>18746000</v>
      </c>
      <c r="I24" s="2">
        <v>9373000</v>
      </c>
      <c r="J24" s="2">
        <f>7810833+10935167</f>
        <v>18746000</v>
      </c>
      <c r="K24" s="3">
        <f>H24-J24</f>
        <v>0</v>
      </c>
      <c r="L24" s="1">
        <f t="shared" si="5"/>
        <v>1</v>
      </c>
      <c r="M24" s="34">
        <v>0</v>
      </c>
      <c r="N24" s="2">
        <v>0</v>
      </c>
      <c r="O24" s="31"/>
    </row>
    <row r="25" spans="1:15" ht="112" x14ac:dyDescent="0.2">
      <c r="A25" s="36" t="s">
        <v>107</v>
      </c>
      <c r="B25" s="30">
        <v>46373026</v>
      </c>
      <c r="C25" s="30">
        <v>9</v>
      </c>
      <c r="D25" s="31" t="s">
        <v>166</v>
      </c>
      <c r="E25" s="30" t="s">
        <v>47</v>
      </c>
      <c r="F25" s="32">
        <v>45694</v>
      </c>
      <c r="G25" s="33">
        <v>45752</v>
      </c>
      <c r="H25" s="2">
        <v>18746000</v>
      </c>
      <c r="I25" s="2">
        <v>9373000</v>
      </c>
      <c r="J25" s="2">
        <f>7810833+9373000+1562167</f>
        <v>18746000</v>
      </c>
      <c r="K25" s="3">
        <f t="shared" si="4"/>
        <v>0</v>
      </c>
      <c r="L25" s="1">
        <f t="shared" si="5"/>
        <v>1</v>
      </c>
      <c r="M25" s="34">
        <v>0</v>
      </c>
      <c r="N25" s="2">
        <v>0</v>
      </c>
      <c r="O25" s="31"/>
    </row>
    <row r="26" spans="1:15" ht="80" x14ac:dyDescent="0.2">
      <c r="A26" s="36" t="s">
        <v>108</v>
      </c>
      <c r="B26" s="30">
        <v>34568513</v>
      </c>
      <c r="C26" s="30">
        <v>9</v>
      </c>
      <c r="D26" s="31" t="s">
        <v>167</v>
      </c>
      <c r="E26" s="30" t="s">
        <v>48</v>
      </c>
      <c r="F26" s="32">
        <v>45695</v>
      </c>
      <c r="G26" s="33">
        <v>45753</v>
      </c>
      <c r="H26" s="2">
        <v>18746000</v>
      </c>
      <c r="I26" s="2">
        <v>9373000</v>
      </c>
      <c r="J26" s="2">
        <f>7498400+9373000+1874600</f>
        <v>18746000</v>
      </c>
      <c r="K26" s="3">
        <f t="shared" si="4"/>
        <v>0</v>
      </c>
      <c r="L26" s="1">
        <f t="shared" si="5"/>
        <v>1</v>
      </c>
      <c r="M26" s="34">
        <v>0</v>
      </c>
      <c r="N26" s="2">
        <v>0</v>
      </c>
      <c r="O26" s="31"/>
    </row>
    <row r="27" spans="1:15" ht="80" x14ac:dyDescent="0.2">
      <c r="A27" s="36" t="s">
        <v>109</v>
      </c>
      <c r="B27" s="30">
        <v>52265179</v>
      </c>
      <c r="C27" s="30">
        <v>6</v>
      </c>
      <c r="D27" s="31" t="s">
        <v>168</v>
      </c>
      <c r="E27" s="30" t="s">
        <v>49</v>
      </c>
      <c r="F27" s="32">
        <v>45698</v>
      </c>
      <c r="G27" s="33">
        <v>45756</v>
      </c>
      <c r="H27" s="2">
        <v>15450000</v>
      </c>
      <c r="I27" s="2">
        <v>7725000</v>
      </c>
      <c r="J27" s="7">
        <f>5407500+7725000</f>
        <v>13132500</v>
      </c>
      <c r="K27" s="3">
        <f t="shared" si="4"/>
        <v>2317500</v>
      </c>
      <c r="L27" s="1">
        <f t="shared" si="5"/>
        <v>0.85</v>
      </c>
      <c r="M27" s="34">
        <v>0</v>
      </c>
      <c r="N27" s="2">
        <v>0</v>
      </c>
      <c r="O27" s="31"/>
    </row>
    <row r="28" spans="1:15" ht="112" x14ac:dyDescent="0.2">
      <c r="A28" s="36" t="s">
        <v>110</v>
      </c>
      <c r="B28" s="30">
        <v>1082933510</v>
      </c>
      <c r="C28" s="30">
        <v>8</v>
      </c>
      <c r="D28" s="31" t="s">
        <v>169</v>
      </c>
      <c r="E28" s="30" t="s">
        <v>50</v>
      </c>
      <c r="F28" s="32">
        <v>45698</v>
      </c>
      <c r="G28" s="33">
        <v>45756</v>
      </c>
      <c r="H28" s="2">
        <v>18746000</v>
      </c>
      <c r="I28" s="2">
        <v>9373000</v>
      </c>
      <c r="J28" s="2">
        <f>6561100+9373000+2811900</f>
        <v>18746000</v>
      </c>
      <c r="K28" s="3">
        <f t="shared" si="4"/>
        <v>0</v>
      </c>
      <c r="L28" s="1">
        <f t="shared" si="5"/>
        <v>1</v>
      </c>
      <c r="M28" s="34">
        <v>0</v>
      </c>
      <c r="N28" s="2">
        <v>0</v>
      </c>
      <c r="O28" s="31"/>
    </row>
    <row r="29" spans="1:15" ht="48" x14ac:dyDescent="0.2">
      <c r="A29" s="36" t="s">
        <v>111</v>
      </c>
      <c r="B29" s="30">
        <v>1018413612</v>
      </c>
      <c r="C29" s="30">
        <v>7</v>
      </c>
      <c r="D29" s="31" t="s">
        <v>170</v>
      </c>
      <c r="E29" s="30" t="s">
        <v>51</v>
      </c>
      <c r="F29" s="32">
        <v>45695</v>
      </c>
      <c r="G29" s="32">
        <v>45747</v>
      </c>
      <c r="H29" s="2">
        <v>16480000</v>
      </c>
      <c r="I29" s="2">
        <v>8240000</v>
      </c>
      <c r="J29" s="7">
        <f>6592000+8240000</f>
        <v>14832000</v>
      </c>
      <c r="K29" s="3">
        <f t="shared" si="4"/>
        <v>1648000</v>
      </c>
      <c r="L29" s="1">
        <f t="shared" si="5"/>
        <v>0.9</v>
      </c>
      <c r="M29" s="34">
        <v>0</v>
      </c>
      <c r="N29" s="2">
        <v>0</v>
      </c>
      <c r="O29" s="31"/>
    </row>
    <row r="30" spans="1:15" ht="48" x14ac:dyDescent="0.2">
      <c r="A30" s="36" t="s">
        <v>112</v>
      </c>
      <c r="B30" s="30">
        <v>1098616302</v>
      </c>
      <c r="C30" s="30">
        <v>1</v>
      </c>
      <c r="D30" s="31" t="s">
        <v>171</v>
      </c>
      <c r="E30" s="30" t="s">
        <v>52</v>
      </c>
      <c r="F30" s="32">
        <v>45698</v>
      </c>
      <c r="G30" s="33">
        <v>46020</v>
      </c>
      <c r="H30" s="2">
        <v>87893333</v>
      </c>
      <c r="I30" s="2">
        <v>8240000</v>
      </c>
      <c r="J30" s="7">
        <f>5768000+8240000+8240000+8240000+8240000+I30+I30+I30+I30+I30</f>
        <v>79928000</v>
      </c>
      <c r="K30" s="3">
        <f>H30-J30</f>
        <v>7965333</v>
      </c>
      <c r="L30" s="1">
        <f t="shared" si="5"/>
        <v>0.90937500344878264</v>
      </c>
      <c r="M30" s="34">
        <v>0</v>
      </c>
      <c r="N30" s="2">
        <v>0</v>
      </c>
      <c r="O30" s="31"/>
    </row>
    <row r="31" spans="1:15" ht="48" x14ac:dyDescent="0.2">
      <c r="A31" s="36" t="s">
        <v>113</v>
      </c>
      <c r="B31" s="30">
        <v>1030700108</v>
      </c>
      <c r="C31" s="30">
        <v>0</v>
      </c>
      <c r="D31" s="31" t="s">
        <v>172</v>
      </c>
      <c r="E31" s="30" t="s">
        <v>53</v>
      </c>
      <c r="F31" s="32">
        <v>45712</v>
      </c>
      <c r="G31" s="33">
        <v>45800</v>
      </c>
      <c r="H31" s="2">
        <v>9900000</v>
      </c>
      <c r="I31" s="2">
        <v>3300000</v>
      </c>
      <c r="J31" s="2">
        <f>770000+3300000+3300000+2530000</f>
        <v>9900000</v>
      </c>
      <c r="K31" s="3">
        <f t="shared" si="4"/>
        <v>0</v>
      </c>
      <c r="L31" s="1">
        <f t="shared" si="5"/>
        <v>1</v>
      </c>
      <c r="M31" s="34">
        <v>0</v>
      </c>
      <c r="N31" s="2">
        <v>0</v>
      </c>
      <c r="O31" s="31"/>
    </row>
    <row r="32" spans="1:15" ht="96" x14ac:dyDescent="0.2">
      <c r="A32" s="36" t="s">
        <v>114</v>
      </c>
      <c r="B32" s="30">
        <v>52538558</v>
      </c>
      <c r="C32" s="30">
        <v>7</v>
      </c>
      <c r="D32" s="31" t="s">
        <v>173</v>
      </c>
      <c r="E32" s="30" t="s">
        <v>54</v>
      </c>
      <c r="F32" s="32">
        <v>45702</v>
      </c>
      <c r="G32" s="33">
        <v>45760</v>
      </c>
      <c r="H32" s="2">
        <v>18746000</v>
      </c>
      <c r="I32" s="2">
        <v>9373000</v>
      </c>
      <c r="J32" s="2">
        <f>6248667+12497333</f>
        <v>18746000</v>
      </c>
      <c r="K32" s="3">
        <f t="shared" si="4"/>
        <v>0</v>
      </c>
      <c r="L32" s="1">
        <f t="shared" si="5"/>
        <v>1</v>
      </c>
      <c r="M32" s="34">
        <v>0</v>
      </c>
      <c r="N32" s="2">
        <v>0</v>
      </c>
      <c r="O32" s="31"/>
    </row>
    <row r="33" spans="1:15" ht="64" x14ac:dyDescent="0.2">
      <c r="A33" s="36" t="s">
        <v>115</v>
      </c>
      <c r="B33" s="30">
        <v>15443887</v>
      </c>
      <c r="C33" s="30">
        <v>1</v>
      </c>
      <c r="D33" s="31" t="s">
        <v>174</v>
      </c>
      <c r="E33" s="30" t="s">
        <v>55</v>
      </c>
      <c r="F33" s="32">
        <v>45699</v>
      </c>
      <c r="G33" s="33">
        <v>45848</v>
      </c>
      <c r="H33" s="2">
        <v>36050000</v>
      </c>
      <c r="I33" s="2">
        <v>7210000</v>
      </c>
      <c r="J33" s="2">
        <f>4806666+7210000+7210000+7210000+7210000+2403334</f>
        <v>36050000</v>
      </c>
      <c r="K33" s="3">
        <f t="shared" si="4"/>
        <v>0</v>
      </c>
      <c r="L33" s="1">
        <f t="shared" si="5"/>
        <v>1</v>
      </c>
      <c r="M33" s="34">
        <v>0</v>
      </c>
      <c r="N33" s="2">
        <v>0</v>
      </c>
      <c r="O33" s="31"/>
    </row>
    <row r="34" spans="1:15" ht="64" x14ac:dyDescent="0.2">
      <c r="A34" s="36" t="s">
        <v>6</v>
      </c>
      <c r="B34" s="30">
        <v>1013688295</v>
      </c>
      <c r="C34" s="30">
        <v>7</v>
      </c>
      <c r="D34" s="31" t="s">
        <v>175</v>
      </c>
      <c r="E34" s="30" t="s">
        <v>56</v>
      </c>
      <c r="F34" s="32">
        <v>45699</v>
      </c>
      <c r="G34" s="33">
        <v>45757</v>
      </c>
      <c r="H34" s="2">
        <v>5850400</v>
      </c>
      <c r="I34" s="2">
        <v>2925200</v>
      </c>
      <c r="J34" s="2">
        <f>1950133+3900267</f>
        <v>5850400</v>
      </c>
      <c r="K34" s="3">
        <f t="shared" si="4"/>
        <v>0</v>
      </c>
      <c r="L34" s="1">
        <f t="shared" si="5"/>
        <v>1</v>
      </c>
      <c r="M34" s="34">
        <v>0</v>
      </c>
      <c r="N34" s="2">
        <v>0</v>
      </c>
      <c r="O34" s="31"/>
    </row>
    <row r="35" spans="1:15" ht="96" x14ac:dyDescent="0.2">
      <c r="A35" s="36" t="s">
        <v>116</v>
      </c>
      <c r="B35" s="30">
        <v>1095823766</v>
      </c>
      <c r="C35" s="30">
        <v>1</v>
      </c>
      <c r="D35" s="31" t="s">
        <v>176</v>
      </c>
      <c r="E35" s="30" t="s">
        <v>57</v>
      </c>
      <c r="F35" s="32">
        <v>45699</v>
      </c>
      <c r="G35" s="33">
        <v>46022</v>
      </c>
      <c r="H35" s="2">
        <v>99978667</v>
      </c>
      <c r="I35" s="2">
        <v>9370000</v>
      </c>
      <c r="J35" s="7">
        <f>6248667+9373000+9373000+9373000+I35+I35+I35+I35+I35</f>
        <v>81217667</v>
      </c>
      <c r="K35" s="3">
        <f t="shared" si="4"/>
        <v>18761000</v>
      </c>
      <c r="L35" s="1">
        <f t="shared" si="5"/>
        <v>0.81234996861880548</v>
      </c>
      <c r="M35" s="34">
        <v>0</v>
      </c>
      <c r="N35" s="2">
        <v>0</v>
      </c>
      <c r="O35" s="31"/>
    </row>
    <row r="36" spans="1:15" ht="64" x14ac:dyDescent="0.2">
      <c r="A36" s="36" t="s">
        <v>117</v>
      </c>
      <c r="B36" s="30">
        <v>1020816603</v>
      </c>
      <c r="C36" s="30">
        <v>8</v>
      </c>
      <c r="D36" s="31" t="s">
        <v>177</v>
      </c>
      <c r="E36" s="30" t="s">
        <v>58</v>
      </c>
      <c r="F36" s="32">
        <v>45699</v>
      </c>
      <c r="G36" s="33">
        <v>45787</v>
      </c>
      <c r="H36" s="2">
        <v>13905000</v>
      </c>
      <c r="I36" s="2">
        <v>4635000</v>
      </c>
      <c r="J36" s="2">
        <f>3090000+4635000+4635000+1545000</f>
        <v>13905000</v>
      </c>
      <c r="K36" s="3">
        <f t="shared" si="4"/>
        <v>0</v>
      </c>
      <c r="L36" s="1">
        <f t="shared" si="5"/>
        <v>1</v>
      </c>
      <c r="M36" s="34">
        <v>0</v>
      </c>
      <c r="N36" s="2">
        <v>0</v>
      </c>
      <c r="O36" s="31"/>
    </row>
    <row r="37" spans="1:15" ht="96" x14ac:dyDescent="0.2">
      <c r="A37" s="36" t="s">
        <v>118</v>
      </c>
      <c r="B37" s="30">
        <v>1072662456</v>
      </c>
      <c r="C37" s="30">
        <v>8</v>
      </c>
      <c r="D37" s="31" t="s">
        <v>178</v>
      </c>
      <c r="E37" s="30" t="s">
        <v>59</v>
      </c>
      <c r="F37" s="32">
        <v>45702</v>
      </c>
      <c r="G37" s="33">
        <v>45760</v>
      </c>
      <c r="H37" s="2">
        <v>16480000</v>
      </c>
      <c r="I37" s="2">
        <v>8240000</v>
      </c>
      <c r="J37" s="2">
        <f>3845333+8240000+4394667</f>
        <v>16480000</v>
      </c>
      <c r="K37" s="3">
        <f t="shared" si="4"/>
        <v>0</v>
      </c>
      <c r="L37" s="1">
        <f t="shared" si="5"/>
        <v>1</v>
      </c>
      <c r="M37" s="34">
        <v>0</v>
      </c>
      <c r="N37" s="2">
        <v>0</v>
      </c>
      <c r="O37" s="31"/>
    </row>
    <row r="38" spans="1:15" ht="80" x14ac:dyDescent="0.2">
      <c r="A38" s="36" t="s">
        <v>119</v>
      </c>
      <c r="B38" s="30">
        <v>1010215529</v>
      </c>
      <c r="C38" s="30">
        <v>5</v>
      </c>
      <c r="D38" s="31" t="s">
        <v>179</v>
      </c>
      <c r="E38" s="30" t="s">
        <v>60</v>
      </c>
      <c r="F38" s="32">
        <v>45699</v>
      </c>
      <c r="G38" s="33">
        <v>45757</v>
      </c>
      <c r="H38" s="2">
        <v>17510000</v>
      </c>
      <c r="I38" s="2">
        <v>8755000</v>
      </c>
      <c r="J38" s="7">
        <f>5835557+I38</f>
        <v>14590557</v>
      </c>
      <c r="K38" s="3">
        <f t="shared" si="4"/>
        <v>2919443</v>
      </c>
      <c r="L38" s="1">
        <f t="shared" si="5"/>
        <v>0.83326996002284415</v>
      </c>
      <c r="M38" s="34">
        <v>0</v>
      </c>
      <c r="N38" s="2">
        <v>0</v>
      </c>
      <c r="O38" s="31"/>
    </row>
    <row r="39" spans="1:15" ht="80" x14ac:dyDescent="0.2">
      <c r="A39" s="36" t="s">
        <v>120</v>
      </c>
      <c r="B39" s="30">
        <v>72260721</v>
      </c>
      <c r="C39" s="30">
        <v>9</v>
      </c>
      <c r="D39" s="31" t="s">
        <v>180</v>
      </c>
      <c r="E39" s="30" t="s">
        <v>61</v>
      </c>
      <c r="F39" s="32">
        <v>45699</v>
      </c>
      <c r="G39" s="33">
        <v>45787</v>
      </c>
      <c r="H39" s="2">
        <v>26265000</v>
      </c>
      <c r="I39" s="2">
        <v>8755000</v>
      </c>
      <c r="J39" s="2">
        <f>5836667+8755000+8755000+2918333</f>
        <v>26265000</v>
      </c>
      <c r="K39" s="3">
        <f t="shared" si="4"/>
        <v>0</v>
      </c>
      <c r="L39" s="1">
        <f t="shared" si="5"/>
        <v>1</v>
      </c>
      <c r="M39" s="34">
        <v>0</v>
      </c>
      <c r="N39" s="2">
        <v>0</v>
      </c>
      <c r="O39" s="31"/>
    </row>
    <row r="40" spans="1:15" ht="64" x14ac:dyDescent="0.2">
      <c r="A40" s="36" t="s">
        <v>121</v>
      </c>
      <c r="B40" s="30">
        <v>1020802607</v>
      </c>
      <c r="C40" s="30">
        <v>6</v>
      </c>
      <c r="D40" s="31" t="s">
        <v>181</v>
      </c>
      <c r="E40" s="30" t="s">
        <v>62</v>
      </c>
      <c r="F40" s="32">
        <v>45699</v>
      </c>
      <c r="G40" s="33">
        <v>45787</v>
      </c>
      <c r="H40" s="2">
        <v>18540000</v>
      </c>
      <c r="I40" s="2">
        <v>6180000</v>
      </c>
      <c r="J40" s="7">
        <f>4120000+6180000+2060000</f>
        <v>12360000</v>
      </c>
      <c r="K40" s="3">
        <f t="shared" si="4"/>
        <v>6180000</v>
      </c>
      <c r="L40" s="1">
        <f t="shared" si="5"/>
        <v>0.66666666666666674</v>
      </c>
      <c r="M40" s="34">
        <v>0</v>
      </c>
      <c r="N40" s="2">
        <v>0</v>
      </c>
      <c r="O40" s="31"/>
    </row>
    <row r="41" spans="1:15" ht="48" x14ac:dyDescent="0.2">
      <c r="A41" s="36" t="s">
        <v>122</v>
      </c>
      <c r="B41" s="30">
        <v>1098821595</v>
      </c>
      <c r="C41" s="30">
        <v>0</v>
      </c>
      <c r="D41" s="31" t="s">
        <v>182</v>
      </c>
      <c r="E41" s="30" t="s">
        <v>63</v>
      </c>
      <c r="F41" s="32">
        <v>45699</v>
      </c>
      <c r="G41" s="33">
        <v>45787</v>
      </c>
      <c r="H41" s="2">
        <v>15450000</v>
      </c>
      <c r="I41" s="2">
        <v>5150000</v>
      </c>
      <c r="J41" s="7">
        <f>3433333+5150000+1716667</f>
        <v>10300000</v>
      </c>
      <c r="K41" s="3">
        <f t="shared" si="4"/>
        <v>5150000</v>
      </c>
      <c r="L41" s="1">
        <f t="shared" si="5"/>
        <v>0.66666666666666674</v>
      </c>
      <c r="M41" s="34">
        <v>0</v>
      </c>
      <c r="N41" s="2">
        <v>0</v>
      </c>
      <c r="O41" s="31"/>
    </row>
    <row r="42" spans="1:15" ht="64" x14ac:dyDescent="0.2">
      <c r="A42" s="36" t="s">
        <v>123</v>
      </c>
      <c r="B42" s="30">
        <v>52708089</v>
      </c>
      <c r="C42" s="30">
        <v>4</v>
      </c>
      <c r="D42" s="31" t="s">
        <v>183</v>
      </c>
      <c r="E42" s="30" t="s">
        <v>64</v>
      </c>
      <c r="F42" s="32">
        <v>45699</v>
      </c>
      <c r="G42" s="33">
        <v>45787</v>
      </c>
      <c r="H42" s="2">
        <v>26265000</v>
      </c>
      <c r="I42" s="2">
        <v>8755000</v>
      </c>
      <c r="J42" s="7">
        <f>5836667+8755000+2918333</f>
        <v>17510000</v>
      </c>
      <c r="K42" s="3">
        <f t="shared" si="4"/>
        <v>8755000</v>
      </c>
      <c r="L42" s="1">
        <f t="shared" si="5"/>
        <v>0.66666666666666674</v>
      </c>
      <c r="M42" s="34">
        <v>0</v>
      </c>
      <c r="N42" s="2">
        <v>0</v>
      </c>
      <c r="O42" s="31"/>
    </row>
    <row r="43" spans="1:15" ht="48" x14ac:dyDescent="0.2">
      <c r="A43" s="36" t="s">
        <v>124</v>
      </c>
      <c r="B43" s="30">
        <v>1054990700</v>
      </c>
      <c r="C43" s="30">
        <v>1</v>
      </c>
      <c r="D43" s="31" t="s">
        <v>184</v>
      </c>
      <c r="E43" s="30" t="s">
        <v>65</v>
      </c>
      <c r="F43" s="32">
        <v>45699</v>
      </c>
      <c r="G43" s="33">
        <v>46022</v>
      </c>
      <c r="H43" s="2">
        <v>87893333</v>
      </c>
      <c r="I43" s="2">
        <v>8240000</v>
      </c>
      <c r="J43" s="7">
        <f>5493333+8240000+8240000+8240000+I43+I43+I43+I43+I43+I43</f>
        <v>79653333</v>
      </c>
      <c r="K43" s="3">
        <f t="shared" si="4"/>
        <v>8240000</v>
      </c>
      <c r="L43" s="1">
        <f t="shared" si="5"/>
        <v>0.90624999964445541</v>
      </c>
      <c r="M43" s="34">
        <v>0</v>
      </c>
      <c r="N43" s="2">
        <v>0</v>
      </c>
      <c r="O43" s="31"/>
    </row>
    <row r="44" spans="1:15" ht="64" x14ac:dyDescent="0.2">
      <c r="A44" s="36" t="s">
        <v>125</v>
      </c>
      <c r="B44" s="30">
        <v>1100950750</v>
      </c>
      <c r="C44" s="30">
        <v>5</v>
      </c>
      <c r="D44" s="31" t="s">
        <v>185</v>
      </c>
      <c r="E44" s="30" t="s">
        <v>66</v>
      </c>
      <c r="F44" s="32">
        <v>45699</v>
      </c>
      <c r="G44" s="33">
        <v>45787</v>
      </c>
      <c r="H44" s="2">
        <v>23175000</v>
      </c>
      <c r="I44" s="2">
        <v>7725000</v>
      </c>
      <c r="J44" s="2">
        <f>5150000+7725000+7725000+2575000</f>
        <v>23175000</v>
      </c>
      <c r="K44" s="3">
        <f t="shared" si="4"/>
        <v>0</v>
      </c>
      <c r="L44" s="1">
        <f t="shared" si="5"/>
        <v>1</v>
      </c>
      <c r="M44" s="34">
        <v>0</v>
      </c>
      <c r="N44" s="2">
        <v>0</v>
      </c>
      <c r="O44" s="31"/>
    </row>
    <row r="45" spans="1:15" ht="48" x14ac:dyDescent="0.2">
      <c r="A45" s="36" t="s">
        <v>126</v>
      </c>
      <c r="B45" s="30">
        <v>1020822526</v>
      </c>
      <c r="C45" s="30">
        <v>3</v>
      </c>
      <c r="D45" s="31" t="s">
        <v>186</v>
      </c>
      <c r="E45" s="30" t="s">
        <v>67</v>
      </c>
      <c r="F45" s="32">
        <v>45699</v>
      </c>
      <c r="G45" s="33">
        <v>45757</v>
      </c>
      <c r="H45" s="2">
        <v>9270000</v>
      </c>
      <c r="I45" s="2">
        <v>4635000</v>
      </c>
      <c r="J45" s="2">
        <f>3090000+4635000+1545000</f>
        <v>9270000</v>
      </c>
      <c r="K45" s="3">
        <f t="shared" si="4"/>
        <v>0</v>
      </c>
      <c r="L45" s="1">
        <f t="shared" si="5"/>
        <v>1</v>
      </c>
      <c r="M45" s="34">
        <v>0</v>
      </c>
      <c r="N45" s="2">
        <v>0</v>
      </c>
      <c r="O45" s="31"/>
    </row>
    <row r="46" spans="1:15" ht="96" x14ac:dyDescent="0.2">
      <c r="A46" s="36" t="s">
        <v>127</v>
      </c>
      <c r="B46" s="30">
        <v>1140864226</v>
      </c>
      <c r="C46" s="30">
        <v>4</v>
      </c>
      <c r="D46" s="31" t="s">
        <v>187</v>
      </c>
      <c r="E46" s="30" t="s">
        <v>68</v>
      </c>
      <c r="F46" s="32">
        <v>45700</v>
      </c>
      <c r="G46" s="33">
        <v>45758</v>
      </c>
      <c r="H46" s="2">
        <v>16480000</v>
      </c>
      <c r="I46" s="2">
        <v>8240000</v>
      </c>
      <c r="J46" s="2">
        <f>5218667+8240000+3021333</f>
        <v>16480000</v>
      </c>
      <c r="K46" s="3">
        <f t="shared" si="4"/>
        <v>0</v>
      </c>
      <c r="L46" s="1">
        <f t="shared" si="5"/>
        <v>1</v>
      </c>
      <c r="M46" s="34">
        <v>0</v>
      </c>
      <c r="N46" s="2">
        <v>0</v>
      </c>
      <c r="O46" s="31"/>
    </row>
    <row r="47" spans="1:15" ht="80" x14ac:dyDescent="0.2">
      <c r="A47" s="36" t="s">
        <v>128</v>
      </c>
      <c r="B47" s="30">
        <v>1033738130</v>
      </c>
      <c r="C47" s="30">
        <v>9</v>
      </c>
      <c r="D47" s="31" t="s">
        <v>188</v>
      </c>
      <c r="E47" s="30" t="s">
        <v>69</v>
      </c>
      <c r="F47" s="32">
        <v>45701</v>
      </c>
      <c r="G47" s="33">
        <v>45759</v>
      </c>
      <c r="H47" s="2">
        <v>16480000</v>
      </c>
      <c r="I47" s="2">
        <v>8240000</v>
      </c>
      <c r="J47" s="2">
        <f>4944000+11536000</f>
        <v>16480000</v>
      </c>
      <c r="K47" s="3">
        <f t="shared" si="4"/>
        <v>0</v>
      </c>
      <c r="L47" s="1">
        <f t="shared" si="5"/>
        <v>1</v>
      </c>
      <c r="M47" s="34">
        <v>0</v>
      </c>
      <c r="N47" s="2">
        <v>0</v>
      </c>
      <c r="O47" s="31"/>
    </row>
    <row r="48" spans="1:15" ht="64" x14ac:dyDescent="0.2">
      <c r="A48" s="36" t="s">
        <v>129</v>
      </c>
      <c r="B48" s="30">
        <v>79280777</v>
      </c>
      <c r="C48" s="30">
        <v>1</v>
      </c>
      <c r="D48" s="31" t="s">
        <v>189</v>
      </c>
      <c r="E48" s="30" t="s">
        <v>70</v>
      </c>
      <c r="F48" s="32">
        <v>45701</v>
      </c>
      <c r="G48" s="33">
        <v>46022</v>
      </c>
      <c r="H48" s="2">
        <v>109180000</v>
      </c>
      <c r="I48" s="2">
        <v>10300000</v>
      </c>
      <c r="J48" s="7">
        <f>6180000+10300000+10300000+I48+I48+I48+I48+I48+I48</f>
        <v>88580000</v>
      </c>
      <c r="K48" s="3">
        <f t="shared" si="4"/>
        <v>20600000</v>
      </c>
      <c r="L48" s="1">
        <f t="shared" si="5"/>
        <v>0.81132075471698117</v>
      </c>
      <c r="M48" s="34">
        <v>0</v>
      </c>
      <c r="N48" s="2">
        <v>0</v>
      </c>
      <c r="O48" s="31"/>
    </row>
    <row r="49" spans="1:15" ht="96" x14ac:dyDescent="0.2">
      <c r="A49" s="36" t="s">
        <v>130</v>
      </c>
      <c r="B49" s="30">
        <v>37555335</v>
      </c>
      <c r="C49" s="30">
        <v>9</v>
      </c>
      <c r="D49" s="31" t="s">
        <v>190</v>
      </c>
      <c r="E49" s="30" t="s">
        <v>71</v>
      </c>
      <c r="F49" s="32">
        <v>45700</v>
      </c>
      <c r="G49" s="33">
        <v>45758</v>
      </c>
      <c r="H49" s="2">
        <v>17510000</v>
      </c>
      <c r="I49" s="2">
        <v>8755000</v>
      </c>
      <c r="J49" s="2">
        <f>5544833+8755000+3210167</f>
        <v>17510000</v>
      </c>
      <c r="K49" s="3">
        <f t="shared" si="4"/>
        <v>0</v>
      </c>
      <c r="L49" s="1">
        <f t="shared" si="5"/>
        <v>1</v>
      </c>
      <c r="M49" s="34">
        <v>0</v>
      </c>
      <c r="N49" s="2">
        <v>0</v>
      </c>
      <c r="O49" s="31"/>
    </row>
    <row r="50" spans="1:15" ht="48" x14ac:dyDescent="0.2">
      <c r="A50" s="36" t="s">
        <v>131</v>
      </c>
      <c r="B50" s="30">
        <v>1128431117</v>
      </c>
      <c r="C50" s="30">
        <v>8</v>
      </c>
      <c r="D50" s="31" t="s">
        <v>191</v>
      </c>
      <c r="E50" s="30" t="s">
        <v>72</v>
      </c>
      <c r="F50" s="32">
        <v>45699</v>
      </c>
      <c r="G50" s="33">
        <v>45787</v>
      </c>
      <c r="H50" s="2">
        <v>11124000</v>
      </c>
      <c r="I50" s="2">
        <v>3708000</v>
      </c>
      <c r="J50" s="7">
        <f>2472000+3708000+1236000</f>
        <v>7416000</v>
      </c>
      <c r="K50" s="3">
        <f t="shared" si="4"/>
        <v>3708000</v>
      </c>
      <c r="L50" s="1">
        <f t="shared" si="5"/>
        <v>0.66666666666666674</v>
      </c>
      <c r="M50" s="34">
        <v>0</v>
      </c>
      <c r="N50" s="2">
        <v>0</v>
      </c>
      <c r="O50" s="31"/>
    </row>
    <row r="51" spans="1:15" ht="96" x14ac:dyDescent="0.2">
      <c r="A51" s="36" t="s">
        <v>132</v>
      </c>
      <c r="B51" s="30">
        <v>79509918</v>
      </c>
      <c r="C51" s="30">
        <v>1</v>
      </c>
      <c r="D51" s="31" t="s">
        <v>192</v>
      </c>
      <c r="E51" s="30" t="s">
        <v>73</v>
      </c>
      <c r="F51" s="32">
        <v>45700</v>
      </c>
      <c r="G51" s="33">
        <v>45787</v>
      </c>
      <c r="H51" s="2">
        <v>13905000</v>
      </c>
      <c r="I51" s="2">
        <v>4635000</v>
      </c>
      <c r="J51" s="2">
        <f>2935500+4635000+4635000+1699500</f>
        <v>13905000</v>
      </c>
      <c r="K51" s="3">
        <f t="shared" si="4"/>
        <v>0</v>
      </c>
      <c r="L51" s="1">
        <f t="shared" si="5"/>
        <v>1</v>
      </c>
      <c r="M51" s="34">
        <v>0</v>
      </c>
      <c r="N51" s="2">
        <v>0</v>
      </c>
      <c r="O51" s="31"/>
    </row>
    <row r="52" spans="1:15" ht="64" x14ac:dyDescent="0.2">
      <c r="A52" s="36" t="s">
        <v>133</v>
      </c>
      <c r="B52" s="30">
        <v>1022392990</v>
      </c>
      <c r="C52" s="30">
        <v>9</v>
      </c>
      <c r="D52" s="31" t="s">
        <v>193</v>
      </c>
      <c r="E52" s="30" t="s">
        <v>74</v>
      </c>
      <c r="F52" s="32">
        <v>45702</v>
      </c>
      <c r="G52" s="33">
        <v>45790</v>
      </c>
      <c r="H52" s="2">
        <v>9900000</v>
      </c>
      <c r="I52" s="2">
        <v>3300000</v>
      </c>
      <c r="J52" s="2">
        <f>1870000+3300000+3300000+1430000</f>
        <v>9900000</v>
      </c>
      <c r="K52" s="3">
        <f t="shared" si="4"/>
        <v>0</v>
      </c>
      <c r="L52" s="1">
        <f t="shared" si="5"/>
        <v>1</v>
      </c>
      <c r="M52" s="34">
        <v>0</v>
      </c>
      <c r="N52" s="2">
        <v>0</v>
      </c>
      <c r="O52" s="31"/>
    </row>
    <row r="53" spans="1:15" ht="80" x14ac:dyDescent="0.2">
      <c r="A53" s="36" t="s">
        <v>134</v>
      </c>
      <c r="B53" s="30">
        <v>1070948522</v>
      </c>
      <c r="C53" s="30">
        <v>8</v>
      </c>
      <c r="D53" s="31" t="s">
        <v>194</v>
      </c>
      <c r="E53" s="30" t="s">
        <v>75</v>
      </c>
      <c r="F53" s="32">
        <v>45702</v>
      </c>
      <c r="G53" s="33">
        <v>45759</v>
      </c>
      <c r="H53" s="2">
        <v>13390000</v>
      </c>
      <c r="I53" s="2">
        <v>6695000</v>
      </c>
      <c r="J53" s="2">
        <f>3793833+6695000+2901167</f>
        <v>13390000</v>
      </c>
      <c r="K53" s="3">
        <f t="shared" si="4"/>
        <v>0</v>
      </c>
      <c r="L53" s="1">
        <f t="shared" si="5"/>
        <v>1</v>
      </c>
      <c r="M53" s="34">
        <v>0</v>
      </c>
      <c r="N53" s="2">
        <v>0</v>
      </c>
      <c r="O53" s="31"/>
    </row>
    <row r="54" spans="1:15" ht="48" x14ac:dyDescent="0.2">
      <c r="A54" s="36" t="s">
        <v>135</v>
      </c>
      <c r="B54" s="30">
        <v>1024600527</v>
      </c>
      <c r="C54" s="30">
        <v>2</v>
      </c>
      <c r="D54" s="31" t="s">
        <v>195</v>
      </c>
      <c r="E54" s="30" t="s">
        <v>76</v>
      </c>
      <c r="F54" s="32">
        <v>45712</v>
      </c>
      <c r="G54" s="33">
        <v>45800</v>
      </c>
      <c r="H54" s="2">
        <v>9900000</v>
      </c>
      <c r="I54" s="2">
        <v>3300000</v>
      </c>
      <c r="J54" s="2">
        <f>770000+3300000+3300000+2530000</f>
        <v>9900000</v>
      </c>
      <c r="K54" s="3">
        <f t="shared" si="4"/>
        <v>0</v>
      </c>
      <c r="L54" s="1">
        <f t="shared" si="5"/>
        <v>1</v>
      </c>
      <c r="M54" s="34">
        <v>0</v>
      </c>
      <c r="N54" s="2">
        <v>0</v>
      </c>
      <c r="O54" s="31"/>
    </row>
    <row r="55" spans="1:15" ht="64" x14ac:dyDescent="0.2">
      <c r="A55" s="36" t="s">
        <v>136</v>
      </c>
      <c r="B55" s="30">
        <v>1066182876</v>
      </c>
      <c r="C55" s="30">
        <v>6</v>
      </c>
      <c r="D55" s="31" t="s">
        <v>196</v>
      </c>
      <c r="E55" s="30" t="s">
        <v>77</v>
      </c>
      <c r="F55" s="32">
        <v>45701</v>
      </c>
      <c r="G55" s="33">
        <v>46022</v>
      </c>
      <c r="H55" s="2">
        <v>92803000</v>
      </c>
      <c r="I55" s="2">
        <v>8755000</v>
      </c>
      <c r="J55" s="7">
        <f>5253000+8755000+8755000+8755000+I55+I55+I55+I55+I55+I55</f>
        <v>84048000</v>
      </c>
      <c r="K55" s="3">
        <f t="shared" si="4"/>
        <v>8755000</v>
      </c>
      <c r="L55" s="1">
        <f t="shared" si="5"/>
        <v>0.90566037735849059</v>
      </c>
      <c r="M55" s="34">
        <v>0</v>
      </c>
      <c r="N55" s="2">
        <v>0</v>
      </c>
      <c r="O55" s="31"/>
    </row>
    <row r="56" spans="1:15" ht="64" x14ac:dyDescent="0.2">
      <c r="A56" s="36" t="s">
        <v>137</v>
      </c>
      <c r="B56" s="30">
        <v>1049628701</v>
      </c>
      <c r="C56" s="30">
        <v>0</v>
      </c>
      <c r="D56" s="31" t="s">
        <v>197</v>
      </c>
      <c r="E56" s="30" t="s">
        <v>78</v>
      </c>
      <c r="F56" s="32">
        <v>45702</v>
      </c>
      <c r="G56" s="33">
        <v>45943</v>
      </c>
      <c r="H56" s="2">
        <v>70040000</v>
      </c>
      <c r="I56" s="2">
        <v>8755000</v>
      </c>
      <c r="J56" s="7">
        <f>4961167+8755000+8755000+I56+I56+I56+I56+3793833</f>
        <v>61285000</v>
      </c>
      <c r="K56" s="3">
        <f t="shared" si="4"/>
        <v>8755000</v>
      </c>
      <c r="L56" s="1">
        <f t="shared" si="5"/>
        <v>0.875</v>
      </c>
      <c r="M56" s="34">
        <v>0</v>
      </c>
      <c r="N56" s="2">
        <v>0</v>
      </c>
      <c r="O56" s="31"/>
    </row>
    <row r="57" spans="1:15" ht="96" x14ac:dyDescent="0.2">
      <c r="A57" s="36" t="s">
        <v>138</v>
      </c>
      <c r="B57" s="30">
        <v>1070918764</v>
      </c>
      <c r="C57" s="30">
        <v>5</v>
      </c>
      <c r="D57" s="31" t="s">
        <v>198</v>
      </c>
      <c r="E57" s="30" t="s">
        <v>79</v>
      </c>
      <c r="F57" s="32">
        <v>45701</v>
      </c>
      <c r="G57" s="33">
        <v>45789</v>
      </c>
      <c r="H57" s="2">
        <v>13905000</v>
      </c>
      <c r="I57" s="2">
        <v>4635000</v>
      </c>
      <c r="J57" s="7">
        <f>2781000+4635000+1854000</f>
        <v>9270000</v>
      </c>
      <c r="K57" s="3">
        <f t="shared" si="4"/>
        <v>4635000</v>
      </c>
      <c r="L57" s="1">
        <f t="shared" si="5"/>
        <v>0.66666666666666674</v>
      </c>
      <c r="M57" s="34">
        <v>0</v>
      </c>
      <c r="N57" s="2">
        <v>0</v>
      </c>
      <c r="O57" s="31"/>
    </row>
    <row r="58" spans="1:15" ht="80" x14ac:dyDescent="0.2">
      <c r="A58" s="36" t="s">
        <v>139</v>
      </c>
      <c r="B58" s="30">
        <v>79595486</v>
      </c>
      <c r="C58" s="30">
        <v>6</v>
      </c>
      <c r="D58" s="31" t="s">
        <v>199</v>
      </c>
      <c r="E58" s="30" t="s">
        <v>80</v>
      </c>
      <c r="F58" s="32">
        <v>45701</v>
      </c>
      <c r="G58" s="33">
        <v>45760</v>
      </c>
      <c r="H58" s="2">
        <v>17510000</v>
      </c>
      <c r="I58" s="2">
        <v>8755000</v>
      </c>
      <c r="J58" s="7">
        <v>5253000</v>
      </c>
      <c r="K58" s="3">
        <f t="shared" si="4"/>
        <v>12257000</v>
      </c>
      <c r="L58" s="1">
        <f t="shared" si="5"/>
        <v>0.30000000000000004</v>
      </c>
      <c r="M58" s="34">
        <v>0</v>
      </c>
      <c r="N58" s="2">
        <v>0</v>
      </c>
      <c r="O58" s="31"/>
    </row>
    <row r="59" spans="1:15" ht="64" x14ac:dyDescent="0.2">
      <c r="A59" s="36" t="s">
        <v>140</v>
      </c>
      <c r="B59" s="30">
        <v>1030656140</v>
      </c>
      <c r="C59" s="30">
        <v>9</v>
      </c>
      <c r="D59" s="31" t="s">
        <v>200</v>
      </c>
      <c r="E59" s="30" t="s">
        <v>81</v>
      </c>
      <c r="F59" s="32">
        <v>45708</v>
      </c>
      <c r="G59" s="33">
        <v>45766</v>
      </c>
      <c r="H59" s="2">
        <v>13390000</v>
      </c>
      <c r="I59" s="2">
        <v>6695000</v>
      </c>
      <c r="J59" s="2">
        <f>2564833+10825167</f>
        <v>13390000</v>
      </c>
      <c r="K59" s="3">
        <f t="shared" si="4"/>
        <v>0</v>
      </c>
      <c r="L59" s="1">
        <f t="shared" si="5"/>
        <v>1</v>
      </c>
      <c r="M59" s="34">
        <v>0</v>
      </c>
      <c r="N59" s="2">
        <v>0</v>
      </c>
      <c r="O59" s="31"/>
    </row>
    <row r="60" spans="1:15" ht="64" x14ac:dyDescent="0.2">
      <c r="A60" s="36" t="s">
        <v>141</v>
      </c>
      <c r="B60" s="30">
        <v>52372465</v>
      </c>
      <c r="C60" s="30">
        <v>6</v>
      </c>
      <c r="D60" s="31" t="s">
        <v>201</v>
      </c>
      <c r="E60" s="30" t="s">
        <v>82</v>
      </c>
      <c r="F60" s="32">
        <v>45701</v>
      </c>
      <c r="G60" s="33">
        <v>45789</v>
      </c>
      <c r="H60" s="2">
        <v>9900000</v>
      </c>
      <c r="I60" s="2">
        <v>3300000</v>
      </c>
      <c r="J60" s="7">
        <f>1980000+3300000+3300000</f>
        <v>8580000</v>
      </c>
      <c r="K60" s="3">
        <f t="shared" si="4"/>
        <v>1320000</v>
      </c>
      <c r="L60" s="1">
        <f t="shared" si="5"/>
        <v>0.8666666666666667</v>
      </c>
      <c r="M60" s="34">
        <v>0</v>
      </c>
      <c r="N60" s="2">
        <v>0</v>
      </c>
      <c r="O60" s="31"/>
    </row>
    <row r="61" spans="1:15" ht="64" x14ac:dyDescent="0.2">
      <c r="A61" s="36" t="s">
        <v>142</v>
      </c>
      <c r="B61" s="30">
        <v>79640179</v>
      </c>
      <c r="C61" s="30">
        <v>2</v>
      </c>
      <c r="D61" s="31" t="s">
        <v>202</v>
      </c>
      <c r="E61" s="30" t="s">
        <v>83</v>
      </c>
      <c r="F61" s="32">
        <v>45709</v>
      </c>
      <c r="G61" s="33">
        <v>45767</v>
      </c>
      <c r="H61" s="2">
        <v>16480000</v>
      </c>
      <c r="I61" s="2">
        <v>8240000</v>
      </c>
      <c r="J61" s="7">
        <f>3021333+8240000</f>
        <v>11261333</v>
      </c>
      <c r="K61" s="3">
        <f t="shared" si="4"/>
        <v>5218667</v>
      </c>
      <c r="L61" s="1">
        <f t="shared" si="5"/>
        <v>0.68333331310679613</v>
      </c>
      <c r="M61" s="34">
        <v>0</v>
      </c>
      <c r="N61" s="2">
        <v>0</v>
      </c>
      <c r="O61" s="31"/>
    </row>
    <row r="62" spans="1:15" ht="48" x14ac:dyDescent="0.2">
      <c r="A62" s="36" t="s">
        <v>143</v>
      </c>
      <c r="B62" s="30">
        <v>79985524</v>
      </c>
      <c r="C62" s="30">
        <v>1</v>
      </c>
      <c r="D62" s="31" t="s">
        <v>203</v>
      </c>
      <c r="E62" s="30" t="s">
        <v>84</v>
      </c>
      <c r="F62" s="32">
        <v>45702</v>
      </c>
      <c r="G62" s="33">
        <v>45760</v>
      </c>
      <c r="H62" s="2">
        <v>6600000</v>
      </c>
      <c r="I62" s="2">
        <v>3300000</v>
      </c>
      <c r="J62" s="2">
        <f>1870000+3300000+1430000</f>
        <v>6600000</v>
      </c>
      <c r="K62" s="3">
        <f t="shared" si="4"/>
        <v>0</v>
      </c>
      <c r="L62" s="1">
        <f t="shared" si="5"/>
        <v>1</v>
      </c>
      <c r="M62" s="34">
        <v>0</v>
      </c>
      <c r="N62" s="2">
        <v>0</v>
      </c>
      <c r="O62" s="31"/>
    </row>
    <row r="63" spans="1:15" ht="48" x14ac:dyDescent="0.2">
      <c r="A63" s="36" t="s">
        <v>144</v>
      </c>
      <c r="B63" s="30">
        <v>1022374419</v>
      </c>
      <c r="C63" s="30">
        <v>8</v>
      </c>
      <c r="D63" s="31" t="s">
        <v>204</v>
      </c>
      <c r="E63" s="30" t="s">
        <v>85</v>
      </c>
      <c r="F63" s="32">
        <v>45709</v>
      </c>
      <c r="G63" s="33">
        <v>45802</v>
      </c>
      <c r="H63" s="2">
        <v>26265000</v>
      </c>
      <c r="I63" s="2">
        <v>8755000</v>
      </c>
      <c r="J63" s="2">
        <f>2918333+I63+8755000+5836667</f>
        <v>26265000</v>
      </c>
      <c r="K63" s="3">
        <f t="shared" si="4"/>
        <v>0</v>
      </c>
      <c r="L63" s="1">
        <f t="shared" si="5"/>
        <v>1</v>
      </c>
      <c r="M63" s="34">
        <v>0</v>
      </c>
      <c r="N63" s="2">
        <v>0</v>
      </c>
      <c r="O63" s="31"/>
    </row>
    <row r="64" spans="1:15" ht="96" x14ac:dyDescent="0.2">
      <c r="A64" s="36" t="s">
        <v>145</v>
      </c>
      <c r="B64" s="30">
        <v>1000515195</v>
      </c>
      <c r="C64" s="30">
        <v>1</v>
      </c>
      <c r="D64" s="31" t="s">
        <v>205</v>
      </c>
      <c r="E64" s="30" t="s">
        <v>86</v>
      </c>
      <c r="F64" s="32">
        <v>45712</v>
      </c>
      <c r="G64" s="33">
        <v>45800</v>
      </c>
      <c r="H64" s="2">
        <v>13905000</v>
      </c>
      <c r="I64" s="2">
        <v>4635000</v>
      </c>
      <c r="J64" s="2">
        <f>1081500+I64+4635000+3553500</f>
        <v>13905000</v>
      </c>
      <c r="K64" s="3">
        <f t="shared" si="4"/>
        <v>0</v>
      </c>
      <c r="L64" s="1">
        <f t="shared" si="5"/>
        <v>1</v>
      </c>
      <c r="M64" s="34">
        <v>0</v>
      </c>
      <c r="N64" s="2">
        <v>0</v>
      </c>
      <c r="O64" s="31"/>
    </row>
    <row r="65" spans="1:15" ht="48" x14ac:dyDescent="0.2">
      <c r="A65" s="36" t="s">
        <v>146</v>
      </c>
      <c r="B65" s="30">
        <v>1085309502</v>
      </c>
      <c r="C65" s="30">
        <v>4</v>
      </c>
      <c r="D65" s="31" t="s">
        <v>206</v>
      </c>
      <c r="E65" s="30" t="s">
        <v>87</v>
      </c>
      <c r="F65" s="32">
        <v>45707</v>
      </c>
      <c r="G65" s="33">
        <v>45765</v>
      </c>
      <c r="H65" s="2">
        <v>8549000</v>
      </c>
      <c r="I65" s="2">
        <v>4274500</v>
      </c>
      <c r="J65" s="2">
        <f>1709800+I65+2564700</f>
        <v>8549000</v>
      </c>
      <c r="K65" s="3">
        <f t="shared" si="4"/>
        <v>0</v>
      </c>
      <c r="L65" s="1">
        <f t="shared" si="5"/>
        <v>1</v>
      </c>
      <c r="M65" s="34">
        <v>0</v>
      </c>
      <c r="N65" s="2">
        <v>0</v>
      </c>
      <c r="O65" s="31"/>
    </row>
    <row r="66" spans="1:15" ht="64" x14ac:dyDescent="0.2">
      <c r="A66" s="36" t="s">
        <v>239</v>
      </c>
      <c r="B66" s="30">
        <v>1014267307</v>
      </c>
      <c r="C66" s="30">
        <v>4</v>
      </c>
      <c r="D66" s="31" t="s">
        <v>237</v>
      </c>
      <c r="E66" s="30" t="s">
        <v>238</v>
      </c>
      <c r="F66" s="32">
        <v>45719</v>
      </c>
      <c r="G66" s="33">
        <v>45810</v>
      </c>
      <c r="H66" s="2">
        <v>9900000</v>
      </c>
      <c r="I66" s="2">
        <v>3300000</v>
      </c>
      <c r="J66" s="7">
        <f>I66+3080000+3300000+3300000+220000</f>
        <v>13200000</v>
      </c>
      <c r="K66" s="3">
        <f t="shared" si="4"/>
        <v>-3300000</v>
      </c>
      <c r="L66" s="1">
        <f>1-(K66/H66)</f>
        <v>1.3333333333333333</v>
      </c>
      <c r="M66" s="34">
        <v>0</v>
      </c>
      <c r="N66" s="2">
        <v>0</v>
      </c>
      <c r="O66" s="31"/>
    </row>
    <row r="67" spans="1:15" ht="48" x14ac:dyDescent="0.2">
      <c r="A67" s="36" t="s">
        <v>147</v>
      </c>
      <c r="B67" s="30">
        <v>53081081</v>
      </c>
      <c r="C67" s="30">
        <v>6</v>
      </c>
      <c r="D67" s="31" t="s">
        <v>207</v>
      </c>
      <c r="E67" s="30" t="s">
        <v>88</v>
      </c>
      <c r="F67" s="32">
        <v>45706</v>
      </c>
      <c r="G67" s="33">
        <v>45763</v>
      </c>
      <c r="H67" s="2">
        <v>13390000</v>
      </c>
      <c r="I67" s="2">
        <v>6695000</v>
      </c>
      <c r="J67" s="2">
        <f>2901167+I67+3793833</f>
        <v>13390000</v>
      </c>
      <c r="K67" s="3">
        <f t="shared" si="4"/>
        <v>0</v>
      </c>
      <c r="L67" s="1">
        <f t="shared" si="5"/>
        <v>1</v>
      </c>
      <c r="M67" s="34">
        <v>0</v>
      </c>
      <c r="N67" s="2">
        <v>0</v>
      </c>
      <c r="O67" s="31"/>
    </row>
    <row r="68" spans="1:15" ht="48" x14ac:dyDescent="0.2">
      <c r="A68" s="36" t="s">
        <v>148</v>
      </c>
      <c r="B68" s="30">
        <v>1023902292</v>
      </c>
      <c r="C68" s="30">
        <v>1</v>
      </c>
      <c r="D68" s="31" t="s">
        <v>208</v>
      </c>
      <c r="E68" s="30" t="s">
        <v>89</v>
      </c>
      <c r="F68" s="32">
        <v>45707</v>
      </c>
      <c r="G68" s="33">
        <v>45795</v>
      </c>
      <c r="H68" s="2">
        <v>23175000</v>
      </c>
      <c r="I68" s="2">
        <v>7725000</v>
      </c>
      <c r="J68" s="2">
        <f>3090000+I68+7725000+4635000</f>
        <v>23175000</v>
      </c>
      <c r="K68" s="3">
        <f t="shared" si="4"/>
        <v>0</v>
      </c>
      <c r="L68" s="1">
        <f t="shared" si="5"/>
        <v>1</v>
      </c>
      <c r="M68" s="34">
        <v>0</v>
      </c>
      <c r="N68" s="2">
        <v>0</v>
      </c>
      <c r="O68" s="31"/>
    </row>
    <row r="69" spans="1:15" ht="48" x14ac:dyDescent="0.2">
      <c r="A69" s="36" t="s">
        <v>149</v>
      </c>
      <c r="B69" s="30">
        <v>1070956438</v>
      </c>
      <c r="C69" s="30">
        <v>0</v>
      </c>
      <c r="D69" s="31" t="s">
        <v>209</v>
      </c>
      <c r="E69" s="30" t="s">
        <v>90</v>
      </c>
      <c r="F69" s="32">
        <v>45707</v>
      </c>
      <c r="G69" s="33">
        <v>45795</v>
      </c>
      <c r="H69" s="2">
        <v>23175000</v>
      </c>
      <c r="I69" s="2">
        <v>7725000</v>
      </c>
      <c r="J69" s="2">
        <f>3090000+I69+7725000+4635000</f>
        <v>23175000</v>
      </c>
      <c r="K69" s="3">
        <f t="shared" si="4"/>
        <v>0</v>
      </c>
      <c r="L69" s="1">
        <f t="shared" si="5"/>
        <v>1</v>
      </c>
      <c r="M69" s="34">
        <v>0</v>
      </c>
      <c r="N69" s="2">
        <v>0</v>
      </c>
      <c r="O69" s="31"/>
    </row>
    <row r="70" spans="1:15" ht="64" x14ac:dyDescent="0.2">
      <c r="A70" s="36" t="s">
        <v>150</v>
      </c>
      <c r="B70" s="30">
        <v>80097030</v>
      </c>
      <c r="C70" s="30">
        <v>9</v>
      </c>
      <c r="D70" s="31" t="s">
        <v>210</v>
      </c>
      <c r="E70" s="30" t="s">
        <v>91</v>
      </c>
      <c r="F70" s="32">
        <v>45709</v>
      </c>
      <c r="G70" s="33">
        <v>46022</v>
      </c>
      <c r="H70" s="2">
        <v>90468333</v>
      </c>
      <c r="I70" s="2">
        <v>8755000</v>
      </c>
      <c r="J70" s="7">
        <f>I70+2918333+8755000+8755000+I70+I70+I70+I70+I70+I70</f>
        <v>81713333</v>
      </c>
      <c r="K70" s="3">
        <f>H70-J70</f>
        <v>8755000</v>
      </c>
      <c r="L70" s="1">
        <f t="shared" si="5"/>
        <v>0.90322580609504544</v>
      </c>
      <c r="M70" s="34">
        <v>0</v>
      </c>
      <c r="N70" s="2">
        <v>0</v>
      </c>
      <c r="O70" s="31"/>
    </row>
    <row r="71" spans="1:15" ht="64" x14ac:dyDescent="0.2">
      <c r="A71" s="36" t="s">
        <v>151</v>
      </c>
      <c r="B71" s="30">
        <v>13362123</v>
      </c>
      <c r="C71" s="30">
        <v>8</v>
      </c>
      <c r="D71" s="31" t="s">
        <v>211</v>
      </c>
      <c r="E71" s="30" t="s">
        <v>92</v>
      </c>
      <c r="F71" s="32">
        <v>45708</v>
      </c>
      <c r="G71" s="33">
        <v>46022</v>
      </c>
      <c r="H71" s="2">
        <v>90760167</v>
      </c>
      <c r="I71" s="2">
        <v>8755000</v>
      </c>
      <c r="J71" s="7">
        <f>I71+3210167+8755000+8755000+I71+I71+I71+I71+I71+I71</f>
        <v>82005167</v>
      </c>
      <c r="K71" s="3">
        <f t="shared" si="4"/>
        <v>8755000</v>
      </c>
      <c r="L71" s="1">
        <f t="shared" si="5"/>
        <v>0.90353697784623954</v>
      </c>
      <c r="M71" s="34">
        <v>0</v>
      </c>
      <c r="N71" s="2">
        <v>0</v>
      </c>
      <c r="O71" s="31"/>
    </row>
    <row r="72" spans="1:15" ht="64" x14ac:dyDescent="0.2">
      <c r="A72" s="36" t="s">
        <v>152</v>
      </c>
      <c r="B72" s="30">
        <v>1022422640</v>
      </c>
      <c r="C72" s="30">
        <v>6</v>
      </c>
      <c r="D72" s="31" t="s">
        <v>212</v>
      </c>
      <c r="E72" s="30" t="s">
        <v>93</v>
      </c>
      <c r="F72" s="32">
        <v>45709</v>
      </c>
      <c r="G72" s="33">
        <v>45797</v>
      </c>
      <c r="H72" s="2">
        <v>9240000</v>
      </c>
      <c r="I72" s="2">
        <v>3300000</v>
      </c>
      <c r="J72" s="7">
        <f>1100000+3300000+3300000+1540000+1540000</f>
        <v>10780000</v>
      </c>
      <c r="K72" s="3">
        <f>H72-J72</f>
        <v>-1540000</v>
      </c>
      <c r="L72" s="1">
        <f t="shared" si="5"/>
        <v>1.1666666666666667</v>
      </c>
      <c r="M72" s="34">
        <v>1</v>
      </c>
      <c r="N72" s="2">
        <v>0</v>
      </c>
      <c r="O72" s="31" t="s">
        <v>376</v>
      </c>
    </row>
    <row r="73" spans="1:15" ht="96" x14ac:dyDescent="0.2">
      <c r="A73" s="36" t="s">
        <v>153</v>
      </c>
      <c r="B73" s="30">
        <v>1090428817</v>
      </c>
      <c r="C73" s="30">
        <v>7</v>
      </c>
      <c r="D73" s="31" t="s">
        <v>213</v>
      </c>
      <c r="E73" s="30" t="s">
        <v>94</v>
      </c>
      <c r="F73" s="32">
        <v>45709</v>
      </c>
      <c r="G73" s="33">
        <v>45797</v>
      </c>
      <c r="H73" s="2">
        <v>13905000</v>
      </c>
      <c r="I73" s="2">
        <v>4635000</v>
      </c>
      <c r="J73" s="7">
        <f>1545000+4635000+4635000+2163000</f>
        <v>12978000</v>
      </c>
      <c r="K73" s="3">
        <f t="shared" si="4"/>
        <v>927000</v>
      </c>
      <c r="L73" s="1">
        <f t="shared" si="5"/>
        <v>0.93333333333333335</v>
      </c>
      <c r="M73" s="34">
        <v>0</v>
      </c>
      <c r="N73" s="2">
        <v>0</v>
      </c>
      <c r="O73" s="31"/>
    </row>
    <row r="74" spans="1:15" ht="48" x14ac:dyDescent="0.2">
      <c r="A74" s="36" t="s">
        <v>154</v>
      </c>
      <c r="B74" s="30">
        <v>1101873530</v>
      </c>
      <c r="C74" s="30">
        <v>5</v>
      </c>
      <c r="D74" s="31" t="s">
        <v>214</v>
      </c>
      <c r="E74" s="30" t="s">
        <v>95</v>
      </c>
      <c r="F74" s="32">
        <v>45709</v>
      </c>
      <c r="G74" s="33">
        <v>46022</v>
      </c>
      <c r="H74" s="2">
        <v>34100000</v>
      </c>
      <c r="I74" s="2">
        <v>3300000</v>
      </c>
      <c r="J74" s="7">
        <f>1100000+I74+3300000+3300000+I74+I74+I74+I74+I74+I74</f>
        <v>30800000</v>
      </c>
      <c r="K74" s="3">
        <f t="shared" si="4"/>
        <v>3300000</v>
      </c>
      <c r="L74" s="1">
        <f t="shared" si="5"/>
        <v>0.90322580645161288</v>
      </c>
      <c r="M74" s="34">
        <v>0</v>
      </c>
      <c r="N74" s="2">
        <v>0</v>
      </c>
      <c r="O74" s="31"/>
    </row>
    <row r="75" spans="1:15" ht="96" x14ac:dyDescent="0.2">
      <c r="A75" s="36" t="s">
        <v>155</v>
      </c>
      <c r="B75" s="30">
        <v>60344235</v>
      </c>
      <c r="C75" s="30">
        <v>9</v>
      </c>
      <c r="D75" s="31" t="s">
        <v>215</v>
      </c>
      <c r="E75" s="30" t="s">
        <v>96</v>
      </c>
      <c r="F75" s="32">
        <v>45709</v>
      </c>
      <c r="G75" s="33">
        <v>45767</v>
      </c>
      <c r="H75" s="2">
        <v>15450000</v>
      </c>
      <c r="I75" s="2">
        <v>7725000</v>
      </c>
      <c r="J75" s="2">
        <f>2575000+I75+5150000</f>
        <v>15450000</v>
      </c>
      <c r="K75" s="3">
        <f t="shared" si="4"/>
        <v>0</v>
      </c>
      <c r="L75" s="1">
        <f t="shared" si="5"/>
        <v>1</v>
      </c>
      <c r="M75" s="34">
        <v>0</v>
      </c>
      <c r="N75" s="2">
        <v>0</v>
      </c>
      <c r="O75" s="31"/>
    </row>
    <row r="76" spans="1:15" ht="64" x14ac:dyDescent="0.2">
      <c r="A76" s="36" t="s">
        <v>156</v>
      </c>
      <c r="B76" s="30">
        <v>1010218439</v>
      </c>
      <c r="C76" s="30">
        <v>4</v>
      </c>
      <c r="D76" s="31" t="s">
        <v>216</v>
      </c>
      <c r="E76" s="30" t="s">
        <v>97</v>
      </c>
      <c r="F76" s="32">
        <v>45709</v>
      </c>
      <c r="G76" s="33">
        <v>45767</v>
      </c>
      <c r="H76" s="2">
        <v>15450000</v>
      </c>
      <c r="I76" s="2">
        <v>7725000</v>
      </c>
      <c r="J76" s="2">
        <f>2575000+I76+5150000</f>
        <v>15450000</v>
      </c>
      <c r="K76" s="3">
        <f t="shared" si="4"/>
        <v>0</v>
      </c>
      <c r="L76" s="1">
        <f t="shared" si="5"/>
        <v>1</v>
      </c>
      <c r="M76" s="34">
        <v>0</v>
      </c>
      <c r="N76" s="2">
        <v>0</v>
      </c>
      <c r="O76" s="31"/>
    </row>
    <row r="77" spans="1:15" ht="64" x14ac:dyDescent="0.2">
      <c r="A77" s="36" t="s">
        <v>157</v>
      </c>
      <c r="B77" s="30">
        <v>52996334</v>
      </c>
      <c r="C77" s="30">
        <v>8</v>
      </c>
      <c r="D77" s="31" t="s">
        <v>217</v>
      </c>
      <c r="E77" s="30" t="s">
        <v>98</v>
      </c>
      <c r="F77" s="32">
        <v>45712</v>
      </c>
      <c r="G77" s="33">
        <v>45770</v>
      </c>
      <c r="H77" s="2">
        <v>17510000</v>
      </c>
      <c r="I77" s="2">
        <v>8755000</v>
      </c>
      <c r="J77" s="2">
        <f>I77+2042833+6712167</f>
        <v>17510000</v>
      </c>
      <c r="K77" s="3">
        <f t="shared" si="4"/>
        <v>0</v>
      </c>
      <c r="L77" s="1">
        <f t="shared" si="5"/>
        <v>1</v>
      </c>
      <c r="M77" s="34">
        <v>0</v>
      </c>
      <c r="N77" s="2">
        <v>0</v>
      </c>
      <c r="O77" s="31"/>
    </row>
    <row r="78" spans="1:15" ht="48" x14ac:dyDescent="0.2">
      <c r="A78" s="36" t="s">
        <v>158</v>
      </c>
      <c r="B78" s="30">
        <v>7170018</v>
      </c>
      <c r="C78" s="30">
        <v>6</v>
      </c>
      <c r="D78" s="31" t="s">
        <v>218</v>
      </c>
      <c r="E78" s="30" t="s">
        <v>99</v>
      </c>
      <c r="F78" s="32">
        <v>45712</v>
      </c>
      <c r="G78" s="33">
        <v>45800</v>
      </c>
      <c r="H78" s="2">
        <v>28119000</v>
      </c>
      <c r="I78" s="2">
        <v>9373000</v>
      </c>
      <c r="J78" s="2">
        <f>2187033+9373000+9373000+7185967</f>
        <v>28119000</v>
      </c>
      <c r="K78" s="3">
        <f t="shared" si="4"/>
        <v>0</v>
      </c>
      <c r="L78" s="1">
        <f t="shared" si="5"/>
        <v>1</v>
      </c>
      <c r="M78" s="34">
        <v>0</v>
      </c>
      <c r="N78" s="2">
        <v>0</v>
      </c>
      <c r="O78" s="31"/>
    </row>
    <row r="79" spans="1:15" ht="64" x14ac:dyDescent="0.2">
      <c r="A79" s="36" t="s">
        <v>159</v>
      </c>
      <c r="B79" s="30">
        <v>1143425034</v>
      </c>
      <c r="C79" s="30">
        <v>5</v>
      </c>
      <c r="D79" s="31" t="s">
        <v>219</v>
      </c>
      <c r="E79" s="30" t="s">
        <v>100</v>
      </c>
      <c r="F79" s="32">
        <v>45712</v>
      </c>
      <c r="G79" s="33">
        <v>45800</v>
      </c>
      <c r="H79" s="2">
        <v>28119000</v>
      </c>
      <c r="I79" s="2">
        <v>9373000</v>
      </c>
      <c r="J79" s="2">
        <f>2187033+9373000+9373000+7185967</f>
        <v>28119000</v>
      </c>
      <c r="K79" s="3">
        <f t="shared" si="4"/>
        <v>0</v>
      </c>
      <c r="L79" s="1">
        <f t="shared" si="5"/>
        <v>1</v>
      </c>
      <c r="M79" s="34">
        <v>0</v>
      </c>
      <c r="N79" s="2">
        <v>0</v>
      </c>
      <c r="O79" s="31"/>
    </row>
    <row r="80" spans="1:15" ht="64" x14ac:dyDescent="0.2">
      <c r="A80" s="36" t="s">
        <v>160</v>
      </c>
      <c r="B80" s="30">
        <v>1121872051</v>
      </c>
      <c r="C80" s="30">
        <v>7</v>
      </c>
      <c r="D80" s="31" t="s">
        <v>220</v>
      </c>
      <c r="E80" s="30" t="s">
        <v>101</v>
      </c>
      <c r="F80" s="32">
        <v>45712</v>
      </c>
      <c r="G80" s="33">
        <v>45800</v>
      </c>
      <c r="H80" s="2">
        <v>16480000</v>
      </c>
      <c r="I80" s="2">
        <v>8240000</v>
      </c>
      <c r="J80" s="2">
        <f>1922667+I80+6317300</f>
        <v>16479967</v>
      </c>
      <c r="K80" s="3">
        <f t="shared" si="4"/>
        <v>33</v>
      </c>
      <c r="L80" s="1">
        <f t="shared" si="5"/>
        <v>0.99999799757281549</v>
      </c>
      <c r="M80" s="34">
        <v>0</v>
      </c>
      <c r="N80" s="2">
        <v>0</v>
      </c>
      <c r="O80" s="31"/>
    </row>
    <row r="81" spans="1:15" ht="48" x14ac:dyDescent="0.2">
      <c r="A81" s="36" t="s">
        <v>161</v>
      </c>
      <c r="B81" s="30">
        <v>1031148185</v>
      </c>
      <c r="C81" s="30">
        <v>4</v>
      </c>
      <c r="D81" s="31" t="s">
        <v>221</v>
      </c>
      <c r="E81" s="30" t="s">
        <v>102</v>
      </c>
      <c r="F81" s="32">
        <v>45713</v>
      </c>
      <c r="G81" s="33">
        <v>45771</v>
      </c>
      <c r="H81" s="2">
        <v>6600000</v>
      </c>
      <c r="I81" s="2">
        <v>3300000</v>
      </c>
      <c r="J81" s="2">
        <f>660000+I81+2640000</f>
        <v>6600000</v>
      </c>
      <c r="K81" s="3">
        <f t="shared" si="4"/>
        <v>0</v>
      </c>
      <c r="L81" s="1">
        <f t="shared" si="5"/>
        <v>1</v>
      </c>
      <c r="M81" s="34">
        <v>0</v>
      </c>
      <c r="N81" s="2">
        <v>0</v>
      </c>
      <c r="O81" s="31"/>
    </row>
    <row r="82" spans="1:15" ht="112" x14ac:dyDescent="0.2">
      <c r="A82" s="36" t="s">
        <v>162</v>
      </c>
      <c r="B82" s="30">
        <v>1094974758</v>
      </c>
      <c r="C82" s="30">
        <v>6</v>
      </c>
      <c r="D82" s="31" t="s">
        <v>222</v>
      </c>
      <c r="E82" s="30" t="s">
        <v>103</v>
      </c>
      <c r="F82" s="32">
        <v>45713</v>
      </c>
      <c r="G82" s="33">
        <v>45954</v>
      </c>
      <c r="H82" s="2">
        <v>68289000</v>
      </c>
      <c r="I82" s="2">
        <v>6695000</v>
      </c>
      <c r="J82" s="7">
        <f>1339000+1339000+6695000+6695000+6695000+I82+I82+I82+I82+I82+6695000+I82</f>
        <v>69628000</v>
      </c>
      <c r="K82" s="3">
        <f t="shared" si="4"/>
        <v>-1339000</v>
      </c>
      <c r="L82" s="1">
        <f t="shared" si="5"/>
        <v>1.0196078431372548</v>
      </c>
      <c r="M82" s="34">
        <v>0</v>
      </c>
      <c r="N82" s="2">
        <v>0</v>
      </c>
      <c r="O82" s="31"/>
    </row>
    <row r="83" spans="1:15" ht="48" x14ac:dyDescent="0.2">
      <c r="A83" s="36" t="s">
        <v>163</v>
      </c>
      <c r="B83" s="30">
        <v>1070329566</v>
      </c>
      <c r="C83" s="30">
        <v>6</v>
      </c>
      <c r="D83" s="31" t="s">
        <v>223</v>
      </c>
      <c r="E83" s="30" t="s">
        <v>104</v>
      </c>
      <c r="F83" s="32">
        <v>45713</v>
      </c>
      <c r="G83" s="33">
        <v>46022</v>
      </c>
      <c r="H83" s="2">
        <v>84048000</v>
      </c>
      <c r="I83" s="2">
        <v>8240000.0000000009</v>
      </c>
      <c r="J83" s="7">
        <f>1648000+1648000+8240000+8240000+8240000+I83+I83+I83+I83+I83+I83</f>
        <v>77456000</v>
      </c>
      <c r="K83" s="3">
        <f t="shared" si="4"/>
        <v>6592000</v>
      </c>
      <c r="L83" s="1">
        <f t="shared" si="5"/>
        <v>0.92156862745098045</v>
      </c>
      <c r="M83" s="34">
        <v>0</v>
      </c>
      <c r="N83" s="2">
        <v>0</v>
      </c>
      <c r="O83" s="31"/>
    </row>
    <row r="84" spans="1:15" ht="80" x14ac:dyDescent="0.2">
      <c r="A84" s="36" t="s">
        <v>283</v>
      </c>
      <c r="B84" s="30">
        <v>36556354</v>
      </c>
      <c r="C84" s="30">
        <v>1</v>
      </c>
      <c r="D84" s="31" t="s">
        <v>325</v>
      </c>
      <c r="E84" s="30" t="s">
        <v>240</v>
      </c>
      <c r="F84" s="32">
        <v>45719</v>
      </c>
      <c r="G84" s="33">
        <v>46022</v>
      </c>
      <c r="H84" s="2">
        <v>71379000</v>
      </c>
      <c r="I84" s="2">
        <v>7210000</v>
      </c>
      <c r="J84" s="7">
        <f>6489000+7210000+7210000+I84+I84+I84+I84+I84+I84</f>
        <v>64169000</v>
      </c>
      <c r="K84" s="3">
        <f t="shared" ref="K84:K126" si="6">H84-J84</f>
        <v>7210000</v>
      </c>
      <c r="L84" s="1">
        <f t="shared" ref="L84:L126" si="7">1-(K84/H84)</f>
        <v>0.89898989898989901</v>
      </c>
      <c r="M84" s="34">
        <v>0</v>
      </c>
      <c r="N84" s="2">
        <v>0</v>
      </c>
      <c r="O84" s="31"/>
    </row>
    <row r="85" spans="1:15" ht="64" x14ac:dyDescent="0.2">
      <c r="A85" s="36" t="s">
        <v>284</v>
      </c>
      <c r="B85" s="30">
        <v>52816943</v>
      </c>
      <c r="C85" s="30">
        <v>2</v>
      </c>
      <c r="D85" s="31" t="s">
        <v>326</v>
      </c>
      <c r="E85" s="30" t="s">
        <v>241</v>
      </c>
      <c r="F85" s="32">
        <v>45719</v>
      </c>
      <c r="G85" s="33">
        <v>45779</v>
      </c>
      <c r="H85" s="2">
        <v>16480000</v>
      </c>
      <c r="I85" s="2">
        <v>8240000</v>
      </c>
      <c r="J85" s="2">
        <f>7690667+8240000+549333</f>
        <v>16480000</v>
      </c>
      <c r="K85" s="3">
        <f t="shared" si="6"/>
        <v>0</v>
      </c>
      <c r="L85" s="1">
        <f t="shared" si="7"/>
        <v>1</v>
      </c>
      <c r="M85" s="34">
        <v>0</v>
      </c>
      <c r="N85" s="2">
        <v>0</v>
      </c>
      <c r="O85" s="31"/>
    </row>
    <row r="86" spans="1:15" ht="80" x14ac:dyDescent="0.2">
      <c r="A86" s="36" t="s">
        <v>285</v>
      </c>
      <c r="B86" s="30">
        <v>52052153</v>
      </c>
      <c r="C86" s="30">
        <v>0</v>
      </c>
      <c r="D86" s="31" t="s">
        <v>327</v>
      </c>
      <c r="E86" s="30" t="s">
        <v>242</v>
      </c>
      <c r="F86" s="32">
        <v>45719</v>
      </c>
      <c r="G86" s="33">
        <v>45779</v>
      </c>
      <c r="H86" s="2">
        <v>11330000</v>
      </c>
      <c r="I86" s="2">
        <v>5665000</v>
      </c>
      <c r="J86" s="2">
        <f>5287333+5665000+377667</f>
        <v>11330000</v>
      </c>
      <c r="K86" s="3">
        <f t="shared" si="6"/>
        <v>0</v>
      </c>
      <c r="L86" s="1">
        <f t="shared" si="7"/>
        <v>1</v>
      </c>
      <c r="M86" s="34">
        <v>0</v>
      </c>
      <c r="N86" s="2">
        <v>0</v>
      </c>
      <c r="O86" s="31"/>
    </row>
    <row r="87" spans="1:15" ht="64" x14ac:dyDescent="0.2">
      <c r="A87" s="36" t="s">
        <v>286</v>
      </c>
      <c r="B87" s="30">
        <v>14838515</v>
      </c>
      <c r="C87" s="30">
        <v>1</v>
      </c>
      <c r="D87" s="31" t="s">
        <v>328</v>
      </c>
      <c r="E87" s="30" t="s">
        <v>243</v>
      </c>
      <c r="F87" s="33">
        <v>45720</v>
      </c>
      <c r="G87" s="33">
        <v>46022</v>
      </c>
      <c r="H87" s="2">
        <v>114810667</v>
      </c>
      <c r="I87" s="2">
        <v>11550000</v>
      </c>
      <c r="J87" s="7">
        <f>10197000+11330000+11330000+11330000</f>
        <v>44187000</v>
      </c>
      <c r="K87" s="3">
        <f t="shared" si="6"/>
        <v>70623667</v>
      </c>
      <c r="L87" s="1">
        <f t="shared" si="7"/>
        <v>0.38486841993523124</v>
      </c>
      <c r="M87" s="34">
        <v>0</v>
      </c>
      <c r="N87" s="2">
        <v>0</v>
      </c>
      <c r="O87" s="31"/>
    </row>
    <row r="88" spans="1:15" ht="32" x14ac:dyDescent="0.2">
      <c r="A88" s="36" t="s">
        <v>287</v>
      </c>
      <c r="B88" s="30">
        <v>32144118</v>
      </c>
      <c r="C88" s="30">
        <v>5</v>
      </c>
      <c r="D88" s="31" t="s">
        <v>329</v>
      </c>
      <c r="E88" s="30" t="s">
        <v>244</v>
      </c>
      <c r="F88" s="33">
        <v>45720</v>
      </c>
      <c r="G88" s="33">
        <v>45780</v>
      </c>
      <c r="H88" s="2">
        <v>17510000</v>
      </c>
      <c r="I88" s="2">
        <v>8755000</v>
      </c>
      <c r="J88" s="2">
        <f>7879500+8755000+875500</f>
        <v>17510000</v>
      </c>
      <c r="K88" s="3">
        <f t="shared" si="6"/>
        <v>0</v>
      </c>
      <c r="L88" s="1">
        <f t="shared" si="7"/>
        <v>1</v>
      </c>
      <c r="M88" s="34">
        <v>0</v>
      </c>
      <c r="N88" s="2">
        <v>0</v>
      </c>
      <c r="O88" s="31"/>
    </row>
    <row r="89" spans="1:15" ht="48" x14ac:dyDescent="0.2">
      <c r="A89" s="36" t="s">
        <v>288</v>
      </c>
      <c r="B89" s="30">
        <v>80017253</v>
      </c>
      <c r="C89" s="30">
        <v>2</v>
      </c>
      <c r="D89" s="31" t="s">
        <v>330</v>
      </c>
      <c r="E89" s="30" t="s">
        <v>245</v>
      </c>
      <c r="F89" s="33">
        <v>45720</v>
      </c>
      <c r="G89" s="32">
        <v>45747</v>
      </c>
      <c r="H89" s="2">
        <v>16480000</v>
      </c>
      <c r="I89" s="2">
        <v>8240000</v>
      </c>
      <c r="J89" s="7">
        <v>7416000</v>
      </c>
      <c r="K89" s="3">
        <f t="shared" si="6"/>
        <v>9064000</v>
      </c>
      <c r="L89" s="1">
        <f t="shared" si="7"/>
        <v>0.44999999999999996</v>
      </c>
      <c r="M89" s="34">
        <v>0</v>
      </c>
      <c r="N89" s="2">
        <v>0</v>
      </c>
      <c r="O89" s="31"/>
    </row>
    <row r="90" spans="1:15" ht="48" x14ac:dyDescent="0.2">
      <c r="A90" s="36" t="s">
        <v>289</v>
      </c>
      <c r="B90" s="30">
        <v>80472297</v>
      </c>
      <c r="C90" s="30">
        <v>6</v>
      </c>
      <c r="D90" s="31" t="s">
        <v>331</v>
      </c>
      <c r="E90" s="30" t="s">
        <v>246</v>
      </c>
      <c r="F90" s="33">
        <v>45721</v>
      </c>
      <c r="G90" s="33">
        <v>46022</v>
      </c>
      <c r="H90" s="2">
        <v>32450000</v>
      </c>
      <c r="I90" s="2">
        <v>3300000</v>
      </c>
      <c r="J90" s="7">
        <f>2750000+3300000+3300000+3300000+3300000+I90+I90+I90+I90</f>
        <v>29150000</v>
      </c>
      <c r="K90" s="3">
        <f t="shared" si="6"/>
        <v>3300000</v>
      </c>
      <c r="L90" s="1">
        <f t="shared" si="7"/>
        <v>0.89830508474576276</v>
      </c>
      <c r="M90" s="34">
        <v>0</v>
      </c>
      <c r="N90" s="2">
        <v>0</v>
      </c>
      <c r="O90" s="31"/>
    </row>
    <row r="91" spans="1:15" ht="80" x14ac:dyDescent="0.2">
      <c r="A91" s="36" t="s">
        <v>290</v>
      </c>
      <c r="B91" s="30">
        <v>1010233403</v>
      </c>
      <c r="C91" s="30">
        <v>2</v>
      </c>
      <c r="D91" s="31" t="s">
        <v>332</v>
      </c>
      <c r="E91" s="30" t="s">
        <v>247</v>
      </c>
      <c r="F91" s="32">
        <v>45722</v>
      </c>
      <c r="G91" s="33">
        <v>45782</v>
      </c>
      <c r="H91" s="2">
        <v>16480000</v>
      </c>
      <c r="I91" s="2">
        <v>8240000</v>
      </c>
      <c r="J91" s="2">
        <f>6866667+8240000+1373333</f>
        <v>16480000</v>
      </c>
      <c r="K91" s="3">
        <f t="shared" si="6"/>
        <v>0</v>
      </c>
      <c r="L91" s="1">
        <f t="shared" si="7"/>
        <v>1</v>
      </c>
      <c r="M91" s="34">
        <v>0</v>
      </c>
      <c r="N91" s="2">
        <v>0</v>
      </c>
      <c r="O91" s="31"/>
    </row>
    <row r="92" spans="1:15" ht="48" x14ac:dyDescent="0.2">
      <c r="A92" s="36" t="s">
        <v>291</v>
      </c>
      <c r="B92" s="30">
        <v>1066184621</v>
      </c>
      <c r="C92" s="30">
        <v>4</v>
      </c>
      <c r="D92" s="31" t="s">
        <v>333</v>
      </c>
      <c r="E92" s="30" t="s">
        <v>248</v>
      </c>
      <c r="F92" s="33">
        <v>45721</v>
      </c>
      <c r="G92" s="33">
        <v>46022</v>
      </c>
      <c r="H92" s="2">
        <v>82400000</v>
      </c>
      <c r="I92" s="2">
        <v>8240000</v>
      </c>
      <c r="J92" s="7">
        <f>7141333+8240000+8240000+I92+I92+I92+I92+I92+I92</f>
        <v>73061333</v>
      </c>
      <c r="K92" s="3">
        <f t="shared" si="6"/>
        <v>9338667</v>
      </c>
      <c r="L92" s="1">
        <f t="shared" si="7"/>
        <v>0.88666666262135918</v>
      </c>
      <c r="M92" s="34">
        <v>0</v>
      </c>
      <c r="N92" s="2">
        <v>0</v>
      </c>
      <c r="O92" s="31"/>
    </row>
    <row r="93" spans="1:15" ht="48" x14ac:dyDescent="0.2">
      <c r="A93" s="36" t="s">
        <v>292</v>
      </c>
      <c r="B93" s="30">
        <v>1053853404</v>
      </c>
      <c r="C93" s="30">
        <v>6</v>
      </c>
      <c r="D93" s="31" t="s">
        <v>334</v>
      </c>
      <c r="E93" s="30" t="s">
        <v>249</v>
      </c>
      <c r="F93" s="32">
        <v>45721</v>
      </c>
      <c r="G93" s="33">
        <v>46022</v>
      </c>
      <c r="H93" s="2">
        <v>81301333</v>
      </c>
      <c r="I93" s="2">
        <v>8240000</v>
      </c>
      <c r="J93" s="7">
        <f>7141333+8240000+8240000+I93+I93+I93+I93+I93+I93</f>
        <v>73061333</v>
      </c>
      <c r="K93" s="3">
        <f t="shared" si="6"/>
        <v>8240000</v>
      </c>
      <c r="L93" s="1">
        <f t="shared" si="7"/>
        <v>0.89864864823311075</v>
      </c>
      <c r="M93" s="34">
        <v>0</v>
      </c>
      <c r="N93" s="2">
        <v>0</v>
      </c>
      <c r="O93" s="31"/>
    </row>
    <row r="94" spans="1:15" ht="64" x14ac:dyDescent="0.2">
      <c r="A94" s="36" t="s">
        <v>293</v>
      </c>
      <c r="B94" s="30">
        <v>80224628</v>
      </c>
      <c r="C94" s="30">
        <v>8</v>
      </c>
      <c r="D94" s="31" t="s">
        <v>335</v>
      </c>
      <c r="E94" s="30" t="s">
        <v>250</v>
      </c>
      <c r="F94" s="32">
        <v>45721</v>
      </c>
      <c r="G94" s="33">
        <v>46022</v>
      </c>
      <c r="H94" s="2">
        <v>86382666</v>
      </c>
      <c r="I94" s="2">
        <v>8755000</v>
      </c>
      <c r="J94" s="7">
        <f>7587666+8755000+1793833</f>
        <v>18136499</v>
      </c>
      <c r="K94" s="3">
        <f t="shared" si="6"/>
        <v>68246167</v>
      </c>
      <c r="L94" s="1">
        <f t="shared" si="7"/>
        <v>0.20995530515346683</v>
      </c>
      <c r="M94" s="34">
        <v>0</v>
      </c>
      <c r="N94" s="2">
        <v>0</v>
      </c>
      <c r="O94" s="31"/>
    </row>
    <row r="95" spans="1:15" ht="64" x14ac:dyDescent="0.2">
      <c r="A95" s="36" t="s">
        <v>294</v>
      </c>
      <c r="B95" s="30">
        <v>1032462696</v>
      </c>
      <c r="C95" s="30">
        <v>5</v>
      </c>
      <c r="D95" s="31" t="s">
        <v>336</v>
      </c>
      <c r="E95" s="30" t="s">
        <v>251</v>
      </c>
      <c r="F95" s="32">
        <v>45723</v>
      </c>
      <c r="G95" s="33">
        <v>45783</v>
      </c>
      <c r="H95" s="2">
        <v>14420000</v>
      </c>
      <c r="I95" s="2">
        <v>7210000</v>
      </c>
      <c r="J95" s="2">
        <f>5768000+7210000+1442000</f>
        <v>14420000</v>
      </c>
      <c r="K95" s="3">
        <f t="shared" si="6"/>
        <v>0</v>
      </c>
      <c r="L95" s="1">
        <f t="shared" si="7"/>
        <v>1</v>
      </c>
      <c r="M95" s="34">
        <v>0</v>
      </c>
      <c r="N95" s="2">
        <v>0</v>
      </c>
      <c r="O95" s="31"/>
    </row>
    <row r="96" spans="1:15" ht="64" x14ac:dyDescent="0.2">
      <c r="A96" s="36" t="s">
        <v>295</v>
      </c>
      <c r="B96" s="30">
        <v>80195916</v>
      </c>
      <c r="C96" s="30">
        <v>9</v>
      </c>
      <c r="D96" s="31" t="s">
        <v>337</v>
      </c>
      <c r="E96" s="30" t="s">
        <v>252</v>
      </c>
      <c r="F96" s="32">
        <v>45723</v>
      </c>
      <c r="G96" s="33">
        <v>45783</v>
      </c>
      <c r="H96" s="2">
        <v>18746000</v>
      </c>
      <c r="I96" s="2">
        <v>9373000</v>
      </c>
      <c r="J96" s="2">
        <f>7498400+9373000+1874600</f>
        <v>18746000</v>
      </c>
      <c r="K96" s="3">
        <f t="shared" si="6"/>
        <v>0</v>
      </c>
      <c r="L96" s="1">
        <f t="shared" si="7"/>
        <v>1</v>
      </c>
      <c r="M96" s="34">
        <v>0</v>
      </c>
      <c r="N96" s="2">
        <v>0</v>
      </c>
      <c r="O96" s="31"/>
    </row>
    <row r="97" spans="1:15" ht="128" x14ac:dyDescent="0.2">
      <c r="A97" s="36" t="s">
        <v>296</v>
      </c>
      <c r="B97" s="30">
        <v>1054372968</v>
      </c>
      <c r="C97" s="30">
        <v>7</v>
      </c>
      <c r="D97" s="31" t="s">
        <v>338</v>
      </c>
      <c r="E97" s="30" t="s">
        <v>253</v>
      </c>
      <c r="F97" s="32">
        <v>45723</v>
      </c>
      <c r="G97" s="33">
        <v>45783</v>
      </c>
      <c r="H97" s="2">
        <v>16480000</v>
      </c>
      <c r="I97" s="2">
        <v>8240000</v>
      </c>
      <c r="J97" s="2">
        <f>6592000+8240000+1648000</f>
        <v>16480000</v>
      </c>
      <c r="K97" s="3">
        <f t="shared" si="6"/>
        <v>0</v>
      </c>
      <c r="L97" s="1">
        <f t="shared" si="7"/>
        <v>1</v>
      </c>
      <c r="M97" s="34">
        <v>0</v>
      </c>
      <c r="N97" s="2">
        <v>0</v>
      </c>
      <c r="O97" s="31"/>
    </row>
    <row r="98" spans="1:15" ht="80" x14ac:dyDescent="0.2">
      <c r="A98" s="36" t="s">
        <v>297</v>
      </c>
      <c r="B98" s="30">
        <v>1018415781</v>
      </c>
      <c r="C98" s="30">
        <v>2</v>
      </c>
      <c r="D98" s="31" t="s">
        <v>339</v>
      </c>
      <c r="E98" s="30" t="s">
        <v>254</v>
      </c>
      <c r="F98" s="32">
        <v>45723</v>
      </c>
      <c r="G98" s="33">
        <v>46017</v>
      </c>
      <c r="H98" s="2">
        <v>79653333</v>
      </c>
      <c r="I98" s="2">
        <v>8240000</v>
      </c>
      <c r="J98" s="7">
        <f>6592000+8240000+8240000+I98+I98+I98+I98+I98+I98</f>
        <v>72512000</v>
      </c>
      <c r="K98" s="3">
        <f t="shared" si="6"/>
        <v>7141333</v>
      </c>
      <c r="L98" s="1">
        <f t="shared" si="7"/>
        <v>0.91034483139581868</v>
      </c>
      <c r="M98" s="34">
        <v>0</v>
      </c>
      <c r="N98" s="2">
        <v>0</v>
      </c>
      <c r="O98" s="31"/>
    </row>
    <row r="99" spans="1:15" ht="48" x14ac:dyDescent="0.2">
      <c r="A99" s="36" t="s">
        <v>298</v>
      </c>
      <c r="B99" s="30">
        <v>1022952696</v>
      </c>
      <c r="C99" s="30">
        <v>1</v>
      </c>
      <c r="D99" s="31" t="s">
        <v>340</v>
      </c>
      <c r="E99" s="30" t="s">
        <v>255</v>
      </c>
      <c r="F99" s="32">
        <v>45727</v>
      </c>
      <c r="G99" s="33">
        <v>45818</v>
      </c>
      <c r="H99" s="2">
        <v>21630000</v>
      </c>
      <c r="I99" s="2">
        <v>7210000</v>
      </c>
      <c r="J99" s="7">
        <f>4120000+4806000+7210000+7210000+2403334+666</f>
        <v>25750000</v>
      </c>
      <c r="K99" s="3">
        <f t="shared" si="6"/>
        <v>-4120000</v>
      </c>
      <c r="L99" s="1">
        <f t="shared" si="7"/>
        <v>1.1904761904761905</v>
      </c>
      <c r="M99" s="34">
        <v>0</v>
      </c>
      <c r="N99" s="2">
        <v>0</v>
      </c>
      <c r="O99" s="31"/>
    </row>
    <row r="100" spans="1:15" ht="96" x14ac:dyDescent="0.2">
      <c r="A100" s="36" t="s">
        <v>299</v>
      </c>
      <c r="B100" s="30">
        <v>1018427750</v>
      </c>
      <c r="C100" s="30">
        <v>6</v>
      </c>
      <c r="D100" s="31" t="s">
        <v>341</v>
      </c>
      <c r="E100" s="30" t="s">
        <v>256</v>
      </c>
      <c r="F100" s="32">
        <v>45727</v>
      </c>
      <c r="G100" s="33">
        <v>45787</v>
      </c>
      <c r="H100" s="2">
        <v>12360000</v>
      </c>
      <c r="I100" s="2">
        <v>6180000</v>
      </c>
      <c r="J100" s="7">
        <f>6180000+2060000</f>
        <v>8240000</v>
      </c>
      <c r="K100" s="3">
        <f t="shared" si="6"/>
        <v>4120000</v>
      </c>
      <c r="L100" s="1">
        <f t="shared" si="7"/>
        <v>0.66666666666666674</v>
      </c>
      <c r="M100" s="34">
        <v>0</v>
      </c>
      <c r="N100" s="2">
        <v>0</v>
      </c>
      <c r="O100" s="31"/>
    </row>
    <row r="101" spans="1:15" ht="64" x14ac:dyDescent="0.2">
      <c r="A101" s="36" t="s">
        <v>300</v>
      </c>
      <c r="B101" s="30">
        <v>91535835</v>
      </c>
      <c r="C101" s="30">
        <v>0</v>
      </c>
      <c r="D101" s="31" t="s">
        <v>342</v>
      </c>
      <c r="E101" s="30" t="s">
        <v>257</v>
      </c>
      <c r="F101" s="32">
        <v>45728</v>
      </c>
      <c r="G101" s="33">
        <v>45819</v>
      </c>
      <c r="H101" s="2">
        <v>26265000</v>
      </c>
      <c r="I101" s="2">
        <v>8755000</v>
      </c>
      <c r="J101" s="7">
        <f>8755000+3210167</f>
        <v>11965167</v>
      </c>
      <c r="K101" s="3">
        <f t="shared" si="6"/>
        <v>14299833</v>
      </c>
      <c r="L101" s="1">
        <f t="shared" si="7"/>
        <v>0.45555556824671617</v>
      </c>
      <c r="M101" s="34">
        <v>0</v>
      </c>
      <c r="N101" s="2">
        <v>0</v>
      </c>
      <c r="O101" s="31"/>
    </row>
    <row r="102" spans="1:15" ht="64" x14ac:dyDescent="0.2">
      <c r="A102" s="36" t="s">
        <v>301</v>
      </c>
      <c r="B102" s="30">
        <v>1001309821</v>
      </c>
      <c r="C102" s="30">
        <v>3</v>
      </c>
      <c r="D102" s="31" t="s">
        <v>343</v>
      </c>
      <c r="E102" s="30" t="s">
        <v>258</v>
      </c>
      <c r="F102" s="32">
        <v>45728</v>
      </c>
      <c r="G102" s="33">
        <v>46022</v>
      </c>
      <c r="H102" s="2">
        <v>35720400</v>
      </c>
      <c r="I102" s="2">
        <v>3708000</v>
      </c>
      <c r="J102" s="7">
        <f>2348400+3708000+3708000+3708000+I102+2224800+3460800+I102+I102</f>
        <v>30282000</v>
      </c>
      <c r="K102" s="3">
        <f t="shared" si="6"/>
        <v>5438400</v>
      </c>
      <c r="L102" s="1">
        <f t="shared" si="7"/>
        <v>0.84775086505190311</v>
      </c>
      <c r="M102" s="34">
        <v>0</v>
      </c>
      <c r="N102" s="2">
        <v>0</v>
      </c>
      <c r="O102" s="31"/>
    </row>
    <row r="103" spans="1:15" ht="48" x14ac:dyDescent="0.2">
      <c r="A103" s="36" t="s">
        <v>302</v>
      </c>
      <c r="B103" s="30">
        <v>1020725505</v>
      </c>
      <c r="C103" s="30">
        <v>3</v>
      </c>
      <c r="D103" s="31" t="s">
        <v>344</v>
      </c>
      <c r="E103" s="30" t="s">
        <v>259</v>
      </c>
      <c r="F103" s="32">
        <v>45730</v>
      </c>
      <c r="G103" s="33">
        <v>46022</v>
      </c>
      <c r="H103" s="2">
        <v>49268333</v>
      </c>
      <c r="I103" s="2">
        <v>5150000</v>
      </c>
      <c r="J103" s="7">
        <f>2918333+5150000+5150000+I103+I103+I103+I103+I103+I103</f>
        <v>44118333</v>
      </c>
      <c r="K103" s="3">
        <f t="shared" si="6"/>
        <v>5150000</v>
      </c>
      <c r="L103" s="1">
        <f t="shared" si="7"/>
        <v>0.89547038256804834</v>
      </c>
      <c r="M103" s="34">
        <v>0</v>
      </c>
      <c r="N103" s="2">
        <v>0</v>
      </c>
      <c r="O103" s="31"/>
    </row>
    <row r="104" spans="1:15" ht="64" x14ac:dyDescent="0.2">
      <c r="A104" s="36" t="s">
        <v>303</v>
      </c>
      <c r="B104" s="30">
        <v>1069715425</v>
      </c>
      <c r="C104" s="30">
        <v>8</v>
      </c>
      <c r="D104" s="31" t="s">
        <v>345</v>
      </c>
      <c r="E104" s="30" t="s">
        <v>260</v>
      </c>
      <c r="F104" s="32">
        <v>45730</v>
      </c>
      <c r="G104" s="33">
        <v>45849</v>
      </c>
      <c r="H104" s="2">
        <v>14832000</v>
      </c>
      <c r="I104" s="2">
        <v>3708000</v>
      </c>
      <c r="J104" s="2">
        <f>2101200+3708000+3708000+3708000+1606800</f>
        <v>14832000</v>
      </c>
      <c r="K104" s="3">
        <f>H104-J104</f>
        <v>0</v>
      </c>
      <c r="L104" s="1">
        <f t="shared" si="7"/>
        <v>1</v>
      </c>
      <c r="M104" s="34">
        <v>0</v>
      </c>
      <c r="N104" s="2">
        <v>0</v>
      </c>
      <c r="O104" s="31"/>
    </row>
    <row r="105" spans="1:15" ht="64" x14ac:dyDescent="0.2">
      <c r="A105" s="36" t="s">
        <v>304</v>
      </c>
      <c r="B105" s="30">
        <v>1121331082</v>
      </c>
      <c r="C105" s="30">
        <v>4</v>
      </c>
      <c r="D105" s="31" t="s">
        <v>346</v>
      </c>
      <c r="E105" s="30" t="s">
        <v>261</v>
      </c>
      <c r="F105" s="32">
        <v>45730</v>
      </c>
      <c r="G105" s="33">
        <v>45991</v>
      </c>
      <c r="H105" s="2">
        <v>48530166</v>
      </c>
      <c r="I105" s="2">
        <v>5665000</v>
      </c>
      <c r="J105" s="7">
        <f>3210166+5665000+5665000+5665000+I105+I105+I105+I105+I105+I105</f>
        <v>54195166</v>
      </c>
      <c r="K105" s="3">
        <f>H105-J105</f>
        <v>-5665000</v>
      </c>
      <c r="L105" s="1">
        <f t="shared" si="7"/>
        <v>1.1167315191132872</v>
      </c>
      <c r="M105" s="34">
        <v>0</v>
      </c>
      <c r="N105" s="2">
        <v>0</v>
      </c>
      <c r="O105" s="31"/>
    </row>
    <row r="106" spans="1:15" ht="48" x14ac:dyDescent="0.2">
      <c r="A106" s="36" t="s">
        <v>305</v>
      </c>
      <c r="B106" s="30">
        <v>1192806892</v>
      </c>
      <c r="C106" s="30">
        <v>1</v>
      </c>
      <c r="D106" s="31" t="s">
        <v>347</v>
      </c>
      <c r="E106" s="30" t="s">
        <v>262</v>
      </c>
      <c r="F106" s="32">
        <v>45729</v>
      </c>
      <c r="G106" s="33">
        <v>45973</v>
      </c>
      <c r="H106" s="2">
        <v>29664000</v>
      </c>
      <c r="I106" s="2">
        <v>3708000</v>
      </c>
      <c r="J106" s="7">
        <f>2224800+3708000+3708000+3708000+I106+I106+I106+I106+1483200+I106</f>
        <v>33372000</v>
      </c>
      <c r="K106" s="3">
        <f t="shared" si="6"/>
        <v>-3708000</v>
      </c>
      <c r="L106" s="1">
        <f t="shared" si="7"/>
        <v>1.125</v>
      </c>
      <c r="M106" s="34">
        <v>0</v>
      </c>
      <c r="N106" s="2">
        <v>0</v>
      </c>
      <c r="O106" s="31"/>
    </row>
    <row r="107" spans="1:15" ht="64" x14ac:dyDescent="0.2">
      <c r="A107" s="36" t="s">
        <v>306</v>
      </c>
      <c r="B107" s="30">
        <v>1000287647</v>
      </c>
      <c r="C107" s="30">
        <v>8</v>
      </c>
      <c r="D107" s="31" t="s">
        <v>348</v>
      </c>
      <c r="E107" s="30" t="s">
        <v>263</v>
      </c>
      <c r="F107" s="32">
        <v>45735</v>
      </c>
      <c r="G107" s="33">
        <v>46022</v>
      </c>
      <c r="H107" s="2">
        <v>35596800</v>
      </c>
      <c r="I107" s="2">
        <v>3708000</v>
      </c>
      <c r="J107" s="7">
        <f>2224800+3708000+3708000+3708000+I107+I107+I107+I107+I107+I107</f>
        <v>35596800</v>
      </c>
      <c r="K107" s="3">
        <f t="shared" si="6"/>
        <v>0</v>
      </c>
      <c r="L107" s="1">
        <f t="shared" si="7"/>
        <v>1</v>
      </c>
      <c r="M107" s="34">
        <v>0</v>
      </c>
      <c r="N107" s="2">
        <v>0</v>
      </c>
      <c r="O107" s="31"/>
    </row>
    <row r="108" spans="1:15" ht="64" x14ac:dyDescent="0.2">
      <c r="A108" s="36" t="s">
        <v>307</v>
      </c>
      <c r="B108" s="30">
        <v>1020828222</v>
      </c>
      <c r="C108" s="30">
        <v>7</v>
      </c>
      <c r="D108" s="31" t="s">
        <v>349</v>
      </c>
      <c r="E108" s="30" t="s">
        <v>264</v>
      </c>
      <c r="F108" s="32">
        <v>45733</v>
      </c>
      <c r="G108" s="33">
        <v>46022</v>
      </c>
      <c r="H108" s="2">
        <v>43878000</v>
      </c>
      <c r="I108" s="2">
        <v>4635000</v>
      </c>
      <c r="J108" s="7">
        <f>2163000+4635000+4635000+I108+I108+I108+I108+I108+I108+I108</f>
        <v>43878000</v>
      </c>
      <c r="K108" s="3">
        <f t="shared" si="6"/>
        <v>0</v>
      </c>
      <c r="L108" s="1">
        <f t="shared" si="7"/>
        <v>1</v>
      </c>
      <c r="M108" s="34">
        <v>0</v>
      </c>
      <c r="N108" s="2">
        <v>0</v>
      </c>
      <c r="O108" s="31"/>
    </row>
    <row r="109" spans="1:15" ht="64" x14ac:dyDescent="0.2">
      <c r="A109" s="36" t="s">
        <v>308</v>
      </c>
      <c r="B109" s="30">
        <v>1016102721</v>
      </c>
      <c r="C109" s="30">
        <v>1</v>
      </c>
      <c r="D109" s="31" t="s">
        <v>350</v>
      </c>
      <c r="E109" s="30" t="s">
        <v>265</v>
      </c>
      <c r="F109" s="32">
        <v>45733</v>
      </c>
      <c r="G109" s="33">
        <v>45793</v>
      </c>
      <c r="H109" s="2">
        <v>11330000</v>
      </c>
      <c r="I109" s="2">
        <v>5665000</v>
      </c>
      <c r="J109" s="2">
        <f>2643667+5665000+3021333</f>
        <v>11330000</v>
      </c>
      <c r="K109" s="3">
        <f t="shared" si="6"/>
        <v>0</v>
      </c>
      <c r="L109" s="1">
        <f t="shared" si="7"/>
        <v>1</v>
      </c>
      <c r="M109" s="34">
        <v>0</v>
      </c>
      <c r="N109" s="2">
        <v>0</v>
      </c>
      <c r="O109" s="31"/>
    </row>
    <row r="110" spans="1:15" ht="31" customHeight="1" x14ac:dyDescent="0.2">
      <c r="A110" s="36" t="s">
        <v>309</v>
      </c>
      <c r="B110" s="10">
        <v>800153993</v>
      </c>
      <c r="C110" s="37">
        <v>7</v>
      </c>
      <c r="D110" s="31" t="s">
        <v>351</v>
      </c>
      <c r="E110" s="30" t="s">
        <v>266</v>
      </c>
      <c r="F110" s="32">
        <v>45733</v>
      </c>
      <c r="G110" s="33">
        <v>46022</v>
      </c>
      <c r="H110" s="2">
        <v>30488024.550000001</v>
      </c>
      <c r="I110" s="2">
        <v>30488024.550000001</v>
      </c>
      <c r="J110" s="7">
        <f>1475227+3048802+3048802+3048802+3048802+3048802+3048802+3048802+3048802+3048802+3048802</f>
        <v>31963247</v>
      </c>
      <c r="K110" s="3">
        <f>H110-J110</f>
        <v>-1475222.4499999993</v>
      </c>
      <c r="L110" s="1">
        <f t="shared" si="7"/>
        <v>1.0483869477204288</v>
      </c>
      <c r="M110" s="34">
        <v>0</v>
      </c>
      <c r="N110" s="2">
        <v>0</v>
      </c>
      <c r="O110" s="31"/>
    </row>
    <row r="111" spans="1:15" ht="48" x14ac:dyDescent="0.2">
      <c r="A111" s="36" t="s">
        <v>310</v>
      </c>
      <c r="B111" s="30">
        <v>36296028</v>
      </c>
      <c r="C111" s="30">
        <v>7</v>
      </c>
      <c r="D111" s="31" t="s">
        <v>352</v>
      </c>
      <c r="E111" s="30" t="s">
        <v>267</v>
      </c>
      <c r="F111" s="32">
        <v>45733</v>
      </c>
      <c r="G111" s="33">
        <v>46022</v>
      </c>
      <c r="H111" s="2">
        <v>88731067</v>
      </c>
      <c r="I111" s="2">
        <v>9373000</v>
      </c>
      <c r="J111" s="7">
        <f>4374067+9373000+9373000+I111+I111+I111+I111+I111+I111</f>
        <v>79358067</v>
      </c>
      <c r="K111" s="3">
        <f>H111-J111</f>
        <v>9373000</v>
      </c>
      <c r="L111" s="1">
        <f t="shared" si="7"/>
        <v>0.89436619757992997</v>
      </c>
      <c r="M111" s="34">
        <v>0</v>
      </c>
      <c r="N111" s="2">
        <v>0</v>
      </c>
      <c r="O111" s="31"/>
    </row>
    <row r="112" spans="1:15" ht="48" x14ac:dyDescent="0.2">
      <c r="A112" s="36" t="s">
        <v>311</v>
      </c>
      <c r="B112" s="30">
        <v>52977353</v>
      </c>
      <c r="C112" s="30">
        <v>7</v>
      </c>
      <c r="D112" s="31" t="s">
        <v>353</v>
      </c>
      <c r="E112" s="30" t="s">
        <v>268</v>
      </c>
      <c r="F112" s="32">
        <v>45735</v>
      </c>
      <c r="G112" s="33">
        <v>46022</v>
      </c>
      <c r="H112" s="2">
        <v>77730667</v>
      </c>
      <c r="I112" s="2">
        <v>8240000</v>
      </c>
      <c r="J112" s="7">
        <f>3570667+8240000+8240000+I112+I112+I112+I112+I112+I112</f>
        <v>69490667</v>
      </c>
      <c r="K112" s="3">
        <f t="shared" si="6"/>
        <v>8240000</v>
      </c>
      <c r="L112" s="1">
        <f t="shared" si="7"/>
        <v>0.8939929333167822</v>
      </c>
      <c r="M112" s="34">
        <v>0</v>
      </c>
      <c r="N112" s="2">
        <v>0</v>
      </c>
      <c r="O112" s="31"/>
    </row>
    <row r="113" spans="1:15" ht="48" x14ac:dyDescent="0.2">
      <c r="A113" s="36" t="s">
        <v>312</v>
      </c>
      <c r="B113" s="30">
        <v>1094926689</v>
      </c>
      <c r="C113" s="30">
        <v>1</v>
      </c>
      <c r="D113" s="31" t="s">
        <v>354</v>
      </c>
      <c r="E113" s="30" t="s">
        <v>269</v>
      </c>
      <c r="F113" s="32">
        <v>45733</v>
      </c>
      <c r="G113" s="33">
        <v>46022</v>
      </c>
      <c r="H113" s="2">
        <v>68254667</v>
      </c>
      <c r="I113" s="2">
        <v>7210000</v>
      </c>
      <c r="J113" s="7">
        <f>3364667+7210000+7210000+I113+I113+I113+I113+I113+I113</f>
        <v>61044667</v>
      </c>
      <c r="K113" s="3">
        <f t="shared" si="6"/>
        <v>7210000</v>
      </c>
      <c r="L113" s="1">
        <f t="shared" si="7"/>
        <v>0.89436619769897929</v>
      </c>
      <c r="M113" s="34">
        <v>0</v>
      </c>
      <c r="N113" s="2">
        <v>0</v>
      </c>
      <c r="O113" s="31"/>
    </row>
    <row r="114" spans="1:15" ht="64" x14ac:dyDescent="0.2">
      <c r="A114" s="36" t="s">
        <v>313</v>
      </c>
      <c r="B114" s="30">
        <v>1088019231</v>
      </c>
      <c r="C114" s="30">
        <v>1</v>
      </c>
      <c r="D114" s="31" t="s">
        <v>355</v>
      </c>
      <c r="E114" s="30" t="s">
        <v>270</v>
      </c>
      <c r="F114" s="32">
        <v>45735</v>
      </c>
      <c r="G114" s="33">
        <v>46022</v>
      </c>
      <c r="H114" s="2">
        <v>62933000</v>
      </c>
      <c r="I114" s="2">
        <v>6695000</v>
      </c>
      <c r="J114" s="7">
        <f>2678000+6695000+6695000+I114+I114+I114+I114+I114+I114</f>
        <v>56238000</v>
      </c>
      <c r="K114" s="3">
        <f t="shared" si="6"/>
        <v>6695000</v>
      </c>
      <c r="L114" s="1">
        <f t="shared" si="7"/>
        <v>0.8936170212765957</v>
      </c>
      <c r="M114" s="34">
        <v>0</v>
      </c>
      <c r="N114" s="2">
        <v>0</v>
      </c>
      <c r="O114" s="31"/>
    </row>
    <row r="115" spans="1:15" ht="48" x14ac:dyDescent="0.2">
      <c r="A115" s="36" t="s">
        <v>314</v>
      </c>
      <c r="B115" s="30">
        <v>19359588</v>
      </c>
      <c r="C115" s="30">
        <v>1</v>
      </c>
      <c r="D115" s="31" t="s">
        <v>356</v>
      </c>
      <c r="E115" s="30" t="s">
        <v>271</v>
      </c>
      <c r="F115" s="32">
        <v>45737</v>
      </c>
      <c r="G115" s="33">
        <v>46022</v>
      </c>
      <c r="H115" s="2">
        <v>72100000</v>
      </c>
      <c r="I115" s="2">
        <v>7725000</v>
      </c>
      <c r="J115" s="7">
        <f>2575000+7725000+7725000+I115+I115+I115+I115+I115+I115</f>
        <v>64375000</v>
      </c>
      <c r="K115" s="3">
        <f t="shared" si="6"/>
        <v>7725000</v>
      </c>
      <c r="L115" s="1">
        <f t="shared" si="7"/>
        <v>0.8928571428571429</v>
      </c>
      <c r="M115" s="34">
        <v>0</v>
      </c>
      <c r="N115" s="2">
        <v>0</v>
      </c>
      <c r="O115" s="31"/>
    </row>
    <row r="116" spans="1:15" ht="48" x14ac:dyDescent="0.2">
      <c r="A116" s="36" t="s">
        <v>315</v>
      </c>
      <c r="B116" s="30">
        <v>52856232</v>
      </c>
      <c r="C116" s="30">
        <v>5</v>
      </c>
      <c r="D116" s="31" t="s">
        <v>357</v>
      </c>
      <c r="E116" s="30" t="s">
        <v>272</v>
      </c>
      <c r="F116" s="32">
        <v>45737</v>
      </c>
      <c r="G116" s="33">
        <v>46022</v>
      </c>
      <c r="H116" s="2">
        <v>35102400</v>
      </c>
      <c r="I116" s="2">
        <v>3708000</v>
      </c>
      <c r="J116" s="7">
        <f>1606800+3708000+3708000+3708000+I116+I116+I116+I116+I116</f>
        <v>31270800</v>
      </c>
      <c r="K116" s="3">
        <f>H116-J116</f>
        <v>3831600</v>
      </c>
      <c r="L116" s="1">
        <f t="shared" si="7"/>
        <v>0.89084507042253525</v>
      </c>
      <c r="M116" s="34">
        <v>0</v>
      </c>
      <c r="N116" s="2">
        <v>0</v>
      </c>
      <c r="O116" s="31"/>
    </row>
    <row r="117" spans="1:15" ht="48" x14ac:dyDescent="0.2">
      <c r="A117" s="36" t="s">
        <v>316</v>
      </c>
      <c r="B117" s="30">
        <v>79912906</v>
      </c>
      <c r="C117" s="30">
        <v>9</v>
      </c>
      <c r="D117" s="31" t="s">
        <v>358</v>
      </c>
      <c r="E117" s="30" t="s">
        <v>273</v>
      </c>
      <c r="F117" s="32">
        <v>45736</v>
      </c>
      <c r="G117" s="33">
        <v>46022</v>
      </c>
      <c r="H117" s="2">
        <v>53062167</v>
      </c>
      <c r="I117" s="2">
        <v>5665000</v>
      </c>
      <c r="J117" s="7">
        <f>2077167+5665000+5665000+I117+I117+I117+I117+I117+I117</f>
        <v>47397167</v>
      </c>
      <c r="K117" s="3">
        <f t="shared" si="6"/>
        <v>5665000</v>
      </c>
      <c r="L117" s="1">
        <f t="shared" si="7"/>
        <v>0.89323843483437082</v>
      </c>
      <c r="M117" s="34">
        <v>0</v>
      </c>
      <c r="N117" s="2">
        <v>0</v>
      </c>
      <c r="O117" s="31"/>
    </row>
    <row r="118" spans="1:15" ht="96" x14ac:dyDescent="0.2">
      <c r="A118" s="36" t="s">
        <v>904</v>
      </c>
      <c r="B118" s="30">
        <v>1121335027</v>
      </c>
      <c r="C118" s="30">
        <v>7</v>
      </c>
      <c r="D118" s="31" t="s">
        <v>359</v>
      </c>
      <c r="E118" s="30" t="s">
        <v>274</v>
      </c>
      <c r="F118" s="32">
        <v>45741</v>
      </c>
      <c r="G118" s="33">
        <v>46022</v>
      </c>
      <c r="H118" s="2">
        <v>67533667</v>
      </c>
      <c r="I118" s="2">
        <v>7210000</v>
      </c>
      <c r="J118" s="7">
        <f>2643667+7210000+7210000+I118+I118+I118+I118+I118+I118</f>
        <v>60323667</v>
      </c>
      <c r="K118" s="3">
        <f t="shared" si="6"/>
        <v>7210000</v>
      </c>
      <c r="L118" s="1">
        <f t="shared" si="7"/>
        <v>0.89323843469065589</v>
      </c>
      <c r="M118" s="34">
        <v>0</v>
      </c>
      <c r="N118" s="2">
        <v>0</v>
      </c>
      <c r="O118" s="31"/>
    </row>
    <row r="119" spans="1:15" ht="80" x14ac:dyDescent="0.2">
      <c r="A119" s="36" t="s">
        <v>317</v>
      </c>
      <c r="B119" s="30">
        <v>101912047</v>
      </c>
      <c r="C119" s="30">
        <v>6</v>
      </c>
      <c r="D119" s="31" t="s">
        <v>360</v>
      </c>
      <c r="E119" s="30" t="s">
        <v>275</v>
      </c>
      <c r="F119" s="32">
        <v>45741</v>
      </c>
      <c r="G119" s="33">
        <v>46022</v>
      </c>
      <c r="H119" s="2">
        <v>56856000</v>
      </c>
      <c r="I119" s="2">
        <v>6180000</v>
      </c>
      <c r="J119" s="7">
        <f>1236000+6180000+6180000+I119+I119+I119</f>
        <v>32136000</v>
      </c>
      <c r="K119" s="3">
        <f t="shared" si="6"/>
        <v>24720000</v>
      </c>
      <c r="L119" s="1">
        <f t="shared" si="7"/>
        <v>0.56521739130434789</v>
      </c>
      <c r="M119" s="34">
        <v>0</v>
      </c>
      <c r="N119" s="2">
        <v>0</v>
      </c>
      <c r="O119" s="31"/>
    </row>
    <row r="120" spans="1:15" ht="48" x14ac:dyDescent="0.2">
      <c r="A120" s="36" t="s">
        <v>318</v>
      </c>
      <c r="B120" s="30">
        <v>1073506407</v>
      </c>
      <c r="C120" s="30">
        <v>3</v>
      </c>
      <c r="D120" s="31" t="s">
        <v>361</v>
      </c>
      <c r="E120" s="30" t="s">
        <v>276</v>
      </c>
      <c r="F120" s="32">
        <v>45741</v>
      </c>
      <c r="G120" s="33">
        <v>45832</v>
      </c>
      <c r="H120" s="2">
        <v>26265000</v>
      </c>
      <c r="I120" s="2">
        <v>8755000</v>
      </c>
      <c r="J120" s="2">
        <f>1751000+8755000+8755000+7004000</f>
        <v>26265000</v>
      </c>
      <c r="K120" s="3">
        <f t="shared" si="6"/>
        <v>0</v>
      </c>
      <c r="L120" s="1">
        <f t="shared" si="7"/>
        <v>1</v>
      </c>
      <c r="M120" s="34">
        <v>0</v>
      </c>
      <c r="N120" s="2">
        <v>0</v>
      </c>
      <c r="O120" s="31"/>
    </row>
    <row r="121" spans="1:15" ht="48" x14ac:dyDescent="0.2">
      <c r="A121" s="36" t="s">
        <v>319</v>
      </c>
      <c r="B121" s="30">
        <v>52823212</v>
      </c>
      <c r="C121" s="30">
        <v>6</v>
      </c>
      <c r="D121" s="31" t="s">
        <v>362</v>
      </c>
      <c r="E121" s="30" t="s">
        <v>277</v>
      </c>
      <c r="F121" s="32">
        <v>45741</v>
      </c>
      <c r="G121" s="33">
        <v>46022</v>
      </c>
      <c r="H121" s="2">
        <v>56856000</v>
      </c>
      <c r="I121" s="2">
        <v>6180000</v>
      </c>
      <c r="J121" s="7">
        <f>1236000+6180000+6180000+I121+I121+I121+I121+I121+I121</f>
        <v>50676000</v>
      </c>
      <c r="K121" s="3">
        <f t="shared" si="6"/>
        <v>6180000</v>
      </c>
      <c r="L121" s="1">
        <f t="shared" si="7"/>
        <v>0.89130434782608692</v>
      </c>
      <c r="M121" s="34">
        <v>0</v>
      </c>
      <c r="N121" s="2">
        <v>0</v>
      </c>
      <c r="O121" s="31"/>
    </row>
    <row r="122" spans="1:15" ht="48" x14ac:dyDescent="0.2">
      <c r="A122" s="36" t="s">
        <v>320</v>
      </c>
      <c r="B122" s="30">
        <v>91430804</v>
      </c>
      <c r="C122" s="30">
        <v>0</v>
      </c>
      <c r="D122" s="31" t="s">
        <v>363</v>
      </c>
      <c r="E122" s="30" t="s">
        <v>278</v>
      </c>
      <c r="F122" s="32">
        <v>45743</v>
      </c>
      <c r="G122" s="33">
        <v>46022</v>
      </c>
      <c r="H122" s="2">
        <v>47036667</v>
      </c>
      <c r="I122" s="2">
        <v>5150000</v>
      </c>
      <c r="J122" s="7">
        <f>686667+5150000+5150000+I122+I122+I122+I122+I122+I122</f>
        <v>41886667</v>
      </c>
      <c r="K122" s="3">
        <f t="shared" si="6"/>
        <v>5150000</v>
      </c>
      <c r="L122" s="1">
        <f t="shared" si="7"/>
        <v>0.89051094968102229</v>
      </c>
      <c r="M122" s="34">
        <v>0</v>
      </c>
      <c r="N122" s="2">
        <v>0</v>
      </c>
      <c r="O122" s="31"/>
    </row>
    <row r="123" spans="1:15" ht="80" x14ac:dyDescent="0.2">
      <c r="A123" s="36" t="s">
        <v>321</v>
      </c>
      <c r="B123" s="30">
        <v>52904871</v>
      </c>
      <c r="C123" s="30">
        <v>8</v>
      </c>
      <c r="D123" s="31" t="s">
        <v>364</v>
      </c>
      <c r="E123" s="30" t="s">
        <v>279</v>
      </c>
      <c r="F123" s="32">
        <v>45743</v>
      </c>
      <c r="G123" s="33">
        <v>45803</v>
      </c>
      <c r="H123" s="2">
        <v>18746000</v>
      </c>
      <c r="I123" s="2">
        <v>9373000</v>
      </c>
      <c r="J123" s="2">
        <f>1249733+9373000+8123267</f>
        <v>18746000</v>
      </c>
      <c r="K123" s="3">
        <f>H123-J123</f>
        <v>0</v>
      </c>
      <c r="L123" s="1">
        <f>1-(K123/H123)</f>
        <v>1</v>
      </c>
      <c r="M123" s="34">
        <v>0</v>
      </c>
      <c r="N123" s="2">
        <v>0</v>
      </c>
      <c r="O123" s="31"/>
    </row>
    <row r="124" spans="1:15" ht="96" x14ac:dyDescent="0.2">
      <c r="A124" s="36" t="s">
        <v>377</v>
      </c>
      <c r="B124" s="30">
        <v>860013570</v>
      </c>
      <c r="C124" s="30">
        <v>3</v>
      </c>
      <c r="D124" s="31" t="s">
        <v>378</v>
      </c>
      <c r="E124" s="30" t="s">
        <v>379</v>
      </c>
      <c r="F124" s="33">
        <v>45750</v>
      </c>
      <c r="G124" s="33">
        <v>46022</v>
      </c>
      <c r="H124" s="2">
        <v>2344276199</v>
      </c>
      <c r="I124" s="2"/>
      <c r="J124" s="7">
        <f>122238319+11108172+5263702+64170251+23129960+119574000+23037500+203130+112190052+4285533+19929000+27173229+2102784+135257200+273800+55794000+9964500+37377780+4205568+45512317+542124+103841831+37377760+25006190+7266652+1333769+101103499+37377760+1300600+90928962+16854345+44532741+651644+54961316+1483200+621424</f>
        <v>1347974614</v>
      </c>
      <c r="K124" s="3">
        <f>H124-J124</f>
        <v>996301585</v>
      </c>
      <c r="L124" s="1">
        <f t="shared" si="7"/>
        <v>0.57500673963887305</v>
      </c>
      <c r="M124" s="34"/>
      <c r="N124" s="2"/>
      <c r="O124" s="31"/>
    </row>
    <row r="125" spans="1:15" ht="80" x14ac:dyDescent="0.2">
      <c r="A125" s="36" t="s">
        <v>322</v>
      </c>
      <c r="B125" s="30">
        <v>52696298</v>
      </c>
      <c r="C125" s="30">
        <v>3</v>
      </c>
      <c r="D125" s="31" t="s">
        <v>365</v>
      </c>
      <c r="E125" s="30" t="s">
        <v>280</v>
      </c>
      <c r="F125" s="32">
        <v>45744</v>
      </c>
      <c r="G125" s="33">
        <v>46018</v>
      </c>
      <c r="H125" s="2">
        <v>101970000</v>
      </c>
      <c r="I125" s="2">
        <v>11330000</v>
      </c>
      <c r="J125" s="7">
        <f>1330000+11330000+11330000+I125+I125+I125+I125+11330000+I125</f>
        <v>91970000</v>
      </c>
      <c r="K125" s="3">
        <f>H125-J125</f>
        <v>10000000</v>
      </c>
      <c r="L125" s="1">
        <f t="shared" si="7"/>
        <v>0.9019319407668922</v>
      </c>
      <c r="M125" s="34">
        <v>0</v>
      </c>
      <c r="N125" s="2">
        <v>0</v>
      </c>
      <c r="O125" s="31"/>
    </row>
    <row r="126" spans="1:15" ht="96" x14ac:dyDescent="0.2">
      <c r="A126" s="36" t="s">
        <v>323</v>
      </c>
      <c r="B126" s="30">
        <v>93356952</v>
      </c>
      <c r="C126" s="30">
        <v>3</v>
      </c>
      <c r="D126" s="31" t="s">
        <v>366</v>
      </c>
      <c r="E126" s="30" t="s">
        <v>281</v>
      </c>
      <c r="F126" s="32">
        <v>45744</v>
      </c>
      <c r="G126" s="33">
        <v>45804</v>
      </c>
      <c r="H126" s="2">
        <v>14420000</v>
      </c>
      <c r="I126" s="2">
        <v>7210000</v>
      </c>
      <c r="J126" s="2">
        <f>721000+7210000+6489000</f>
        <v>14420000</v>
      </c>
      <c r="K126" s="3">
        <f t="shared" si="6"/>
        <v>0</v>
      </c>
      <c r="L126" s="1">
        <f t="shared" si="7"/>
        <v>1</v>
      </c>
      <c r="M126" s="34">
        <v>0</v>
      </c>
      <c r="N126" s="2">
        <v>0</v>
      </c>
      <c r="O126" s="31"/>
    </row>
    <row r="127" spans="1:15" ht="96" x14ac:dyDescent="0.2">
      <c r="A127" s="36" t="s">
        <v>324</v>
      </c>
      <c r="B127" s="30">
        <v>1049640069</v>
      </c>
      <c r="C127" s="30">
        <v>2</v>
      </c>
      <c r="D127" s="31" t="s">
        <v>367</v>
      </c>
      <c r="E127" s="30" t="s">
        <v>282</v>
      </c>
      <c r="F127" s="32">
        <v>45744</v>
      </c>
      <c r="G127" s="33">
        <v>45804</v>
      </c>
      <c r="H127" s="2">
        <v>14420000</v>
      </c>
      <c r="I127" s="2">
        <v>7210000</v>
      </c>
      <c r="J127" s="2">
        <f>721000+I127+6489000</f>
        <v>14420000</v>
      </c>
      <c r="K127" s="3">
        <f t="shared" ref="K127:K158" si="8">H127-J127</f>
        <v>0</v>
      </c>
      <c r="L127" s="1">
        <f>1-(K127/H127)</f>
        <v>1</v>
      </c>
      <c r="M127" s="34">
        <v>0</v>
      </c>
      <c r="N127" s="2">
        <v>0</v>
      </c>
      <c r="O127" s="31"/>
    </row>
    <row r="128" spans="1:15" ht="48" x14ac:dyDescent="0.2">
      <c r="A128" s="36" t="s">
        <v>449</v>
      </c>
      <c r="B128" s="30">
        <v>1010179404</v>
      </c>
      <c r="C128" s="30">
        <v>9</v>
      </c>
      <c r="D128" s="31" t="s">
        <v>460</v>
      </c>
      <c r="E128" s="30" t="s">
        <v>380</v>
      </c>
      <c r="F128" s="32">
        <v>45748</v>
      </c>
      <c r="G128" s="32">
        <v>46022</v>
      </c>
      <c r="H128" s="44">
        <v>64890000</v>
      </c>
      <c r="I128" s="2">
        <v>7210000</v>
      </c>
      <c r="J128" s="7">
        <f>I128+I128+I128+I128+I128+I128+I128+I128</f>
        <v>57680000</v>
      </c>
      <c r="K128" s="4">
        <f t="shared" si="8"/>
        <v>7210000</v>
      </c>
      <c r="L128" s="1">
        <f>1-(K128/H128)</f>
        <v>0.88888888888888884</v>
      </c>
      <c r="M128" s="34">
        <v>0</v>
      </c>
      <c r="N128" s="2"/>
      <c r="O128" s="31"/>
    </row>
    <row r="129" spans="1:15" ht="96" x14ac:dyDescent="0.2">
      <c r="A129" s="36" t="s">
        <v>450</v>
      </c>
      <c r="B129" s="30">
        <v>1121333092</v>
      </c>
      <c r="C129" s="30">
        <v>7</v>
      </c>
      <c r="D129" s="31" t="s">
        <v>461</v>
      </c>
      <c r="E129" s="30" t="s">
        <v>381</v>
      </c>
      <c r="F129" s="32">
        <v>45749</v>
      </c>
      <c r="G129" s="32">
        <v>45838</v>
      </c>
      <c r="H129" s="44">
        <v>13905000</v>
      </c>
      <c r="I129" s="44">
        <v>4635000</v>
      </c>
      <c r="J129" s="7">
        <f>4480500+2163000</f>
        <v>6643500</v>
      </c>
      <c r="K129" s="4">
        <f t="shared" si="8"/>
        <v>7261500</v>
      </c>
      <c r="L129" s="1">
        <f>1-(K129/H129)</f>
        <v>0.47777777777777775</v>
      </c>
      <c r="M129" s="34">
        <v>0</v>
      </c>
      <c r="N129" s="2"/>
      <c r="O129" s="31"/>
    </row>
    <row r="130" spans="1:15" ht="80" x14ac:dyDescent="0.2">
      <c r="A130" s="36" t="s">
        <v>451</v>
      </c>
      <c r="B130" s="30">
        <v>1129570405</v>
      </c>
      <c r="C130" s="30">
        <v>3</v>
      </c>
      <c r="D130" s="31" t="s">
        <v>462</v>
      </c>
      <c r="E130" s="30" t="s">
        <v>382</v>
      </c>
      <c r="F130" s="32">
        <v>45748</v>
      </c>
      <c r="G130" s="32">
        <v>46022</v>
      </c>
      <c r="H130" s="44">
        <v>60255000</v>
      </c>
      <c r="I130" s="44">
        <v>6695000</v>
      </c>
      <c r="J130" s="7">
        <f>I130+I130+I130+I130+I130+I130+I130+I130</f>
        <v>53560000</v>
      </c>
      <c r="K130" s="4">
        <f t="shared" si="8"/>
        <v>6695000</v>
      </c>
      <c r="L130" s="1">
        <f t="shared" ref="L130:L193" si="9">1-(K130/H130)</f>
        <v>0.88888888888888884</v>
      </c>
      <c r="M130" s="34">
        <v>0</v>
      </c>
      <c r="N130" s="2"/>
      <c r="O130" s="31"/>
    </row>
    <row r="131" spans="1:15" ht="64" x14ac:dyDescent="0.2">
      <c r="A131" s="36" t="s">
        <v>452</v>
      </c>
      <c r="B131" s="30">
        <v>80777891</v>
      </c>
      <c r="C131" s="30">
        <v>1</v>
      </c>
      <c r="D131" s="31" t="s">
        <v>463</v>
      </c>
      <c r="E131" s="30" t="s">
        <v>383</v>
      </c>
      <c r="F131" s="32">
        <v>45748</v>
      </c>
      <c r="G131" s="32">
        <v>46022</v>
      </c>
      <c r="H131" s="44">
        <v>55620000</v>
      </c>
      <c r="I131" s="44">
        <v>6180000</v>
      </c>
      <c r="J131" s="7">
        <f>I131+I131+I131+I131+I131+I131+I131+I131</f>
        <v>49440000</v>
      </c>
      <c r="K131" s="4">
        <f t="shared" si="8"/>
        <v>6180000</v>
      </c>
      <c r="L131" s="1">
        <f t="shared" si="9"/>
        <v>0.88888888888888884</v>
      </c>
      <c r="M131" s="34">
        <v>0</v>
      </c>
      <c r="N131" s="2"/>
      <c r="O131" s="31"/>
    </row>
    <row r="132" spans="1:15" ht="112" x14ac:dyDescent="0.2">
      <c r="A132" s="36" t="s">
        <v>453</v>
      </c>
      <c r="B132" s="30">
        <v>80931890</v>
      </c>
      <c r="C132" s="30">
        <v>4</v>
      </c>
      <c r="D132" s="31" t="s">
        <v>464</v>
      </c>
      <c r="E132" s="30" t="s">
        <v>384</v>
      </c>
      <c r="F132" s="32">
        <v>45748</v>
      </c>
      <c r="G132" s="32">
        <v>46022</v>
      </c>
      <c r="H132" s="44">
        <v>78795000</v>
      </c>
      <c r="I132" s="44">
        <v>8755000</v>
      </c>
      <c r="J132" s="9">
        <f>I132+I132+I132+I132+I132+I132+I132+I132</f>
        <v>70040000</v>
      </c>
      <c r="K132" s="4">
        <f t="shared" si="8"/>
        <v>8755000</v>
      </c>
      <c r="L132" s="1">
        <f t="shared" si="9"/>
        <v>0.88888888888888884</v>
      </c>
      <c r="M132" s="34">
        <v>0</v>
      </c>
      <c r="N132" s="2"/>
      <c r="O132" s="31"/>
    </row>
    <row r="133" spans="1:15" ht="96" x14ac:dyDescent="0.2">
      <c r="A133" s="36" t="s">
        <v>454</v>
      </c>
      <c r="B133" s="30">
        <v>1060647586</v>
      </c>
      <c r="C133" s="30">
        <v>0</v>
      </c>
      <c r="D133" s="31" t="s">
        <v>465</v>
      </c>
      <c r="E133" s="30" t="s">
        <v>385</v>
      </c>
      <c r="F133" s="32">
        <v>45748</v>
      </c>
      <c r="G133" s="32">
        <v>46022</v>
      </c>
      <c r="H133" s="44">
        <v>50985000</v>
      </c>
      <c r="I133" s="44">
        <v>5665000</v>
      </c>
      <c r="J133" s="7">
        <f>I133+I133</f>
        <v>11330000</v>
      </c>
      <c r="K133" s="4">
        <f t="shared" si="8"/>
        <v>39655000</v>
      </c>
      <c r="L133" s="1">
        <f t="shared" si="9"/>
        <v>0.22222222222222221</v>
      </c>
      <c r="M133" s="34">
        <v>0</v>
      </c>
      <c r="N133" s="2"/>
      <c r="O133" s="31"/>
    </row>
    <row r="134" spans="1:15" ht="48" x14ac:dyDescent="0.2">
      <c r="A134" s="36" t="s">
        <v>455</v>
      </c>
      <c r="B134" s="30">
        <v>51980182</v>
      </c>
      <c r="C134" s="30">
        <v>1</v>
      </c>
      <c r="D134" s="31" t="s">
        <v>466</v>
      </c>
      <c r="E134" s="30" t="s">
        <v>386</v>
      </c>
      <c r="F134" s="32">
        <v>45749</v>
      </c>
      <c r="G134" s="32">
        <v>46022</v>
      </c>
      <c r="H134" s="44">
        <v>38328017</v>
      </c>
      <c r="I134" s="44">
        <v>4274500</v>
      </c>
      <c r="J134" s="7">
        <f>4132017+I134+I134+I134+I134+I134+4274500+I134</f>
        <v>34053517</v>
      </c>
      <c r="K134" s="4">
        <f t="shared" si="8"/>
        <v>4274500</v>
      </c>
      <c r="L134" s="1">
        <f t="shared" si="9"/>
        <v>0.88847583740113656</v>
      </c>
      <c r="M134" s="34">
        <v>0</v>
      </c>
      <c r="N134" s="2"/>
      <c r="O134" s="31"/>
    </row>
    <row r="135" spans="1:15" ht="80" x14ac:dyDescent="0.2">
      <c r="A135" s="36" t="s">
        <v>456</v>
      </c>
      <c r="B135" s="30">
        <v>1121338894</v>
      </c>
      <c r="C135" s="30">
        <v>1</v>
      </c>
      <c r="D135" s="31" t="s">
        <v>467</v>
      </c>
      <c r="E135" s="30" t="s">
        <v>387</v>
      </c>
      <c r="F135" s="32">
        <v>45754</v>
      </c>
      <c r="G135" s="32">
        <v>46022</v>
      </c>
      <c r="H135" s="44">
        <v>50796167</v>
      </c>
      <c r="I135" s="44">
        <v>5665000</v>
      </c>
      <c r="J135" s="7">
        <f>4532000+I135+I135+I135+I135+I135+I135+I135</f>
        <v>44187000</v>
      </c>
      <c r="K135" s="4">
        <f t="shared" si="8"/>
        <v>6609167</v>
      </c>
      <c r="L135" s="1">
        <f t="shared" si="9"/>
        <v>0.86988847012807091</v>
      </c>
      <c r="M135" s="34">
        <v>0</v>
      </c>
      <c r="N135" s="2"/>
      <c r="O135" s="31"/>
    </row>
    <row r="136" spans="1:15" ht="64" x14ac:dyDescent="0.2">
      <c r="A136" s="36" t="s">
        <v>457</v>
      </c>
      <c r="B136" s="30">
        <v>1015400397</v>
      </c>
      <c r="C136" s="30">
        <v>0</v>
      </c>
      <c r="D136" s="31" t="s">
        <v>468</v>
      </c>
      <c r="E136" s="30" t="s">
        <v>388</v>
      </c>
      <c r="F136" s="32">
        <v>45756</v>
      </c>
      <c r="G136" s="32">
        <v>46022</v>
      </c>
      <c r="H136" s="44">
        <v>9900000</v>
      </c>
      <c r="I136" s="44">
        <v>3300000</v>
      </c>
      <c r="J136" s="2">
        <f>2640000+I136+I136+660000</f>
        <v>9900000</v>
      </c>
      <c r="K136" s="4">
        <f t="shared" si="8"/>
        <v>0</v>
      </c>
      <c r="L136" s="1">
        <f t="shared" si="9"/>
        <v>1</v>
      </c>
      <c r="M136" s="34">
        <v>0</v>
      </c>
      <c r="N136" s="2"/>
      <c r="O136" s="31"/>
    </row>
    <row r="137" spans="1:15" ht="64" x14ac:dyDescent="0.2">
      <c r="A137" s="36" t="s">
        <v>458</v>
      </c>
      <c r="B137" s="30">
        <v>52786047</v>
      </c>
      <c r="C137" s="30">
        <v>8</v>
      </c>
      <c r="D137" s="31" t="s">
        <v>469</v>
      </c>
      <c r="E137" s="30" t="s">
        <v>389</v>
      </c>
      <c r="F137" s="32">
        <v>45749</v>
      </c>
      <c r="G137" s="32">
        <v>46022</v>
      </c>
      <c r="H137" s="44">
        <v>78503167</v>
      </c>
      <c r="I137" s="44">
        <v>8755000</v>
      </c>
      <c r="J137" s="7">
        <f>8463167+I137+I137+I137+I137+I137+I137+I137</f>
        <v>69748167</v>
      </c>
      <c r="K137" s="4">
        <f t="shared" si="8"/>
        <v>8755000</v>
      </c>
      <c r="L137" s="1">
        <f t="shared" si="9"/>
        <v>0.88847583690477094</v>
      </c>
      <c r="M137" s="34">
        <v>0</v>
      </c>
      <c r="N137" s="2"/>
      <c r="O137" s="31"/>
    </row>
    <row r="138" spans="1:15" ht="128" x14ac:dyDescent="0.2">
      <c r="A138" s="36" t="s">
        <v>459</v>
      </c>
      <c r="B138" s="30">
        <v>1006665445</v>
      </c>
      <c r="C138" s="30">
        <v>0</v>
      </c>
      <c r="D138" s="31" t="s">
        <v>470</v>
      </c>
      <c r="E138" s="30" t="s">
        <v>390</v>
      </c>
      <c r="F138" s="32">
        <v>45749</v>
      </c>
      <c r="G138" s="32">
        <v>46022</v>
      </c>
      <c r="H138" s="44">
        <v>41560500</v>
      </c>
      <c r="I138" s="44">
        <v>4635000</v>
      </c>
      <c r="J138" s="7">
        <f>4480500+I138+I138+I138+I138+I138+I138+I138</f>
        <v>36925500</v>
      </c>
      <c r="K138" s="4">
        <f t="shared" si="8"/>
        <v>4635000</v>
      </c>
      <c r="L138" s="1">
        <f t="shared" si="9"/>
        <v>0.88847583643122674</v>
      </c>
      <c r="M138" s="34">
        <v>0</v>
      </c>
      <c r="N138" s="2"/>
      <c r="O138" s="31"/>
    </row>
    <row r="139" spans="1:15" ht="64" x14ac:dyDescent="0.2">
      <c r="A139" s="36" t="s">
        <v>15</v>
      </c>
      <c r="B139" s="30">
        <v>1081817848</v>
      </c>
      <c r="C139" s="30">
        <v>1</v>
      </c>
      <c r="D139" s="31" t="s">
        <v>373</v>
      </c>
      <c r="E139" s="30" t="s">
        <v>374</v>
      </c>
      <c r="F139" s="32">
        <v>45750</v>
      </c>
      <c r="G139" s="33">
        <v>46022</v>
      </c>
      <c r="H139" s="2">
        <v>74709334</v>
      </c>
      <c r="I139" s="2">
        <v>8755000</v>
      </c>
      <c r="J139" s="7">
        <v>2042833</v>
      </c>
      <c r="K139" s="3">
        <f t="shared" si="8"/>
        <v>72666501</v>
      </c>
      <c r="L139" s="1">
        <f t="shared" si="9"/>
        <v>2.7343745294262645E-2</v>
      </c>
      <c r="M139" s="34">
        <v>0</v>
      </c>
      <c r="N139" s="2">
        <v>0</v>
      </c>
      <c r="O139" s="31"/>
    </row>
    <row r="140" spans="1:15" ht="48" x14ac:dyDescent="0.2">
      <c r="A140" s="36" t="s">
        <v>471</v>
      </c>
      <c r="B140" s="30">
        <v>900239396</v>
      </c>
      <c r="C140" s="30">
        <v>3</v>
      </c>
      <c r="D140" s="31" t="s">
        <v>525</v>
      </c>
      <c r="E140" s="30" t="s">
        <v>391</v>
      </c>
      <c r="F140" s="32"/>
      <c r="G140" s="32">
        <v>46022</v>
      </c>
      <c r="H140" s="44">
        <v>42516678</v>
      </c>
      <c r="I140" s="44">
        <v>42516678</v>
      </c>
      <c r="J140" s="7">
        <f>4441252+4441252+4950334+4441252+4441252</f>
        <v>22715342</v>
      </c>
      <c r="K140" s="4">
        <f t="shared" si="8"/>
        <v>19801336</v>
      </c>
      <c r="L140" s="1">
        <f t="shared" si="9"/>
        <v>0.53426897557706643</v>
      </c>
      <c r="M140" s="34">
        <v>0</v>
      </c>
      <c r="N140" s="2"/>
      <c r="O140" s="31"/>
    </row>
    <row r="141" spans="1:15" ht="48" x14ac:dyDescent="0.2">
      <c r="A141" s="36" t="s">
        <v>472</v>
      </c>
      <c r="B141" s="30">
        <v>56098544</v>
      </c>
      <c r="C141" s="30">
        <v>1</v>
      </c>
      <c r="D141" s="31" t="s">
        <v>526</v>
      </c>
      <c r="E141" s="30" t="s">
        <v>392</v>
      </c>
      <c r="F141" s="32">
        <v>45750</v>
      </c>
      <c r="G141" s="32">
        <v>46022</v>
      </c>
      <c r="H141" s="44">
        <v>50607333</v>
      </c>
      <c r="I141" s="44">
        <v>5665000</v>
      </c>
      <c r="J141" s="7">
        <f>5287333+I141+I141+I141+I141</f>
        <v>27947333</v>
      </c>
      <c r="K141" s="4">
        <f t="shared" si="8"/>
        <v>22660000</v>
      </c>
      <c r="L141" s="1">
        <f t="shared" si="9"/>
        <v>0.55223880302089823</v>
      </c>
      <c r="M141" s="34">
        <v>0</v>
      </c>
      <c r="N141" s="2"/>
      <c r="O141" s="31"/>
    </row>
    <row r="142" spans="1:15" ht="112" x14ac:dyDescent="0.2">
      <c r="A142" s="36" t="s">
        <v>473</v>
      </c>
      <c r="B142" s="30">
        <v>1032376251</v>
      </c>
      <c r="C142" s="30">
        <v>1</v>
      </c>
      <c r="D142" s="31" t="s">
        <v>527</v>
      </c>
      <c r="E142" s="30" t="s">
        <v>393</v>
      </c>
      <c r="F142" s="32">
        <v>45750</v>
      </c>
      <c r="G142" s="32">
        <v>46022</v>
      </c>
      <c r="H142" s="44">
        <v>29480000</v>
      </c>
      <c r="I142" s="44">
        <v>3300000</v>
      </c>
      <c r="J142" s="7">
        <f>3080000+I142+I142+I142+I142+I142+I142+I142</f>
        <v>26180000</v>
      </c>
      <c r="K142" s="3">
        <f t="shared" si="8"/>
        <v>3300000</v>
      </c>
      <c r="L142" s="1">
        <f t="shared" si="9"/>
        <v>0.88805970149253732</v>
      </c>
      <c r="M142" s="34">
        <v>0</v>
      </c>
      <c r="N142" s="2"/>
      <c r="O142" s="31"/>
    </row>
    <row r="143" spans="1:15" ht="112" x14ac:dyDescent="0.2">
      <c r="A143" s="36" t="s">
        <v>474</v>
      </c>
      <c r="B143" s="30">
        <v>52712916</v>
      </c>
      <c r="C143" s="30">
        <v>6</v>
      </c>
      <c r="D143" s="31" t="s">
        <v>528</v>
      </c>
      <c r="E143" s="30" t="s">
        <v>394</v>
      </c>
      <c r="F143" s="32">
        <v>45751</v>
      </c>
      <c r="G143" s="32">
        <v>46022</v>
      </c>
      <c r="H143" s="44">
        <v>64409333</v>
      </c>
      <c r="I143" s="44">
        <v>7210000</v>
      </c>
      <c r="J143" s="7">
        <f>6489000+7210000+I143+I143+I143+I143+I143+I143</f>
        <v>56959000</v>
      </c>
      <c r="K143" s="4">
        <f t="shared" si="8"/>
        <v>7450333</v>
      </c>
      <c r="L143" s="1">
        <f t="shared" si="9"/>
        <v>0.88432836278556093</v>
      </c>
      <c r="M143" s="34">
        <v>0</v>
      </c>
      <c r="N143" s="2"/>
      <c r="O143" s="31"/>
    </row>
    <row r="144" spans="1:15" ht="80" x14ac:dyDescent="0.2">
      <c r="A144" s="36" t="s">
        <v>22</v>
      </c>
      <c r="B144" s="30">
        <v>1055228274</v>
      </c>
      <c r="C144" s="30">
        <v>2</v>
      </c>
      <c r="D144" s="31" t="s">
        <v>529</v>
      </c>
      <c r="E144" s="30" t="s">
        <v>395</v>
      </c>
      <c r="F144" s="32">
        <v>45750</v>
      </c>
      <c r="G144" s="32">
        <v>46022</v>
      </c>
      <c r="H144" s="44">
        <v>55208000</v>
      </c>
      <c r="I144" s="44">
        <v>6180000</v>
      </c>
      <c r="J144" s="7">
        <f>5768000+I144+I144+I144+I144+I144+I144+I144</f>
        <v>49028000</v>
      </c>
      <c r="K144" s="3">
        <f t="shared" si="8"/>
        <v>6180000</v>
      </c>
      <c r="L144" s="1">
        <f t="shared" si="9"/>
        <v>0.88805970149253732</v>
      </c>
      <c r="M144" s="34">
        <v>0</v>
      </c>
      <c r="N144" s="2"/>
      <c r="O144" s="31"/>
    </row>
    <row r="145" spans="1:15" ht="96" x14ac:dyDescent="0.2">
      <c r="A145" s="36" t="s">
        <v>475</v>
      </c>
      <c r="B145" s="30">
        <v>53036634</v>
      </c>
      <c r="C145" s="30">
        <v>8</v>
      </c>
      <c r="D145" s="31" t="s">
        <v>530</v>
      </c>
      <c r="E145" s="30" t="s">
        <v>396</v>
      </c>
      <c r="F145" s="32">
        <v>45751</v>
      </c>
      <c r="G145" s="32">
        <v>45811</v>
      </c>
      <c r="H145" s="44">
        <v>17510000</v>
      </c>
      <c r="I145" s="44">
        <v>8755000</v>
      </c>
      <c r="J145" s="2">
        <f>7879500+8755000+875500</f>
        <v>17510000</v>
      </c>
      <c r="K145" s="3">
        <f t="shared" si="8"/>
        <v>0</v>
      </c>
      <c r="L145" s="1">
        <f t="shared" si="9"/>
        <v>1</v>
      </c>
      <c r="M145" s="34">
        <v>0</v>
      </c>
      <c r="N145" s="2"/>
      <c r="O145" s="31"/>
    </row>
    <row r="146" spans="1:15" ht="64" x14ac:dyDescent="0.2">
      <c r="A146" s="36" t="s">
        <v>476</v>
      </c>
      <c r="B146" s="30">
        <v>15435023</v>
      </c>
      <c r="C146" s="30">
        <v>1</v>
      </c>
      <c r="D146" s="31" t="s">
        <v>531</v>
      </c>
      <c r="E146" s="30" t="s">
        <v>397</v>
      </c>
      <c r="F146" s="32">
        <v>45751</v>
      </c>
      <c r="G146" s="32">
        <v>45841</v>
      </c>
      <c r="H146" s="44">
        <v>18540000</v>
      </c>
      <c r="I146" s="44">
        <v>6180000</v>
      </c>
      <c r="J146" s="2">
        <f>5562000+5562000+5562000+1854000</f>
        <v>18540000</v>
      </c>
      <c r="K146" s="3">
        <f t="shared" si="8"/>
        <v>0</v>
      </c>
      <c r="L146" s="1">
        <f t="shared" si="9"/>
        <v>1</v>
      </c>
      <c r="M146" s="34">
        <v>0</v>
      </c>
      <c r="N146" s="2"/>
      <c r="O146" s="31"/>
    </row>
    <row r="147" spans="1:15" ht="48" x14ac:dyDescent="0.2">
      <c r="A147" s="36" t="s">
        <v>477</v>
      </c>
      <c r="B147" s="30">
        <v>800252836</v>
      </c>
      <c r="C147" s="30">
        <v>3</v>
      </c>
      <c r="D147" s="31" t="s">
        <v>532</v>
      </c>
      <c r="E147" s="30" t="s">
        <v>398</v>
      </c>
      <c r="F147" s="32">
        <v>45761</v>
      </c>
      <c r="G147" s="32">
        <v>46022</v>
      </c>
      <c r="H147" s="44">
        <v>21869820</v>
      </c>
      <c r="I147" s="44">
        <v>21869820</v>
      </c>
      <c r="J147" s="7">
        <f>1265723+2233630+223630+2233630+2233630</f>
        <v>8190243</v>
      </c>
      <c r="K147" s="3">
        <f t="shared" si="8"/>
        <v>13679577</v>
      </c>
      <c r="L147" s="1">
        <f t="shared" si="9"/>
        <v>0.3744997901217294</v>
      </c>
      <c r="M147" s="34">
        <v>0</v>
      </c>
      <c r="N147" s="2"/>
      <c r="O147" s="31"/>
    </row>
    <row r="148" spans="1:15" ht="80" x14ac:dyDescent="0.2">
      <c r="A148" s="36" t="s">
        <v>478</v>
      </c>
      <c r="B148" s="30">
        <v>1003313124</v>
      </c>
      <c r="C148" s="30">
        <v>0</v>
      </c>
      <c r="D148" s="31" t="s">
        <v>533</v>
      </c>
      <c r="E148" s="30" t="s">
        <v>399</v>
      </c>
      <c r="F148" s="32">
        <v>45755</v>
      </c>
      <c r="G148" s="32">
        <v>46022</v>
      </c>
      <c r="H148" s="44">
        <v>37473117</v>
      </c>
      <c r="I148" s="44">
        <v>4274500</v>
      </c>
      <c r="J148" s="7">
        <f>3277117+I148+I148+I148+I148+I148+I148+I148</f>
        <v>33198617</v>
      </c>
      <c r="K148" s="3">
        <f t="shared" si="8"/>
        <v>4274500</v>
      </c>
      <c r="L148" s="1">
        <f t="shared" si="9"/>
        <v>0.88593155995003037</v>
      </c>
      <c r="M148" s="34">
        <v>0</v>
      </c>
      <c r="N148" s="2"/>
      <c r="O148" s="31"/>
    </row>
    <row r="149" spans="1:15" ht="64" x14ac:dyDescent="0.2">
      <c r="A149" s="36" t="s">
        <v>479</v>
      </c>
      <c r="B149" s="30">
        <v>1233345600</v>
      </c>
      <c r="C149" s="30">
        <v>7</v>
      </c>
      <c r="D149" s="31" t="s">
        <v>534</v>
      </c>
      <c r="E149" s="30" t="s">
        <v>400</v>
      </c>
      <c r="F149" s="32">
        <v>45754</v>
      </c>
      <c r="G149" s="32">
        <v>46022</v>
      </c>
      <c r="H149" s="44">
        <v>35349600</v>
      </c>
      <c r="I149" s="44">
        <v>4017000</v>
      </c>
      <c r="J149" s="7">
        <f>3213600+4017000+I149+I149+I149+I149+I149+I149</f>
        <v>31332600</v>
      </c>
      <c r="K149" s="3">
        <f t="shared" si="8"/>
        <v>4017000</v>
      </c>
      <c r="L149" s="1">
        <f t="shared" si="9"/>
        <v>0.88636363636363635</v>
      </c>
      <c r="M149" s="34">
        <v>0</v>
      </c>
      <c r="N149" s="2"/>
      <c r="O149" s="31"/>
    </row>
    <row r="150" spans="1:15" ht="48" x14ac:dyDescent="0.2">
      <c r="A150" s="36" t="s">
        <v>480</v>
      </c>
      <c r="B150" s="30">
        <v>17959320</v>
      </c>
      <c r="C150" s="30">
        <v>0</v>
      </c>
      <c r="D150" s="31" t="s">
        <v>535</v>
      </c>
      <c r="E150" s="30" t="s">
        <v>401</v>
      </c>
      <c r="F150" s="32">
        <v>45754</v>
      </c>
      <c r="G150" s="32">
        <v>46022</v>
      </c>
      <c r="H150" s="44">
        <v>55002000</v>
      </c>
      <c r="I150" s="44">
        <v>6180000</v>
      </c>
      <c r="J150" s="7">
        <f>4944000+6180000+I150+I150+I150+I150+I150+I150</f>
        <v>48204000</v>
      </c>
      <c r="K150" s="3">
        <f t="shared" si="8"/>
        <v>6798000</v>
      </c>
      <c r="L150" s="1">
        <f t="shared" si="9"/>
        <v>0.8764044943820225</v>
      </c>
      <c r="M150" s="34">
        <v>0</v>
      </c>
      <c r="N150" s="2"/>
      <c r="O150" s="31"/>
    </row>
    <row r="151" spans="1:15" ht="64" x14ac:dyDescent="0.2">
      <c r="A151" s="36" t="s">
        <v>19</v>
      </c>
      <c r="B151" s="30">
        <v>53106586</v>
      </c>
      <c r="C151" s="30">
        <v>3</v>
      </c>
      <c r="D151" s="31" t="s">
        <v>536</v>
      </c>
      <c r="E151" s="30" t="s">
        <v>402</v>
      </c>
      <c r="F151" s="32">
        <v>45756</v>
      </c>
      <c r="G151" s="32">
        <v>46022</v>
      </c>
      <c r="H151" s="44">
        <v>94451000</v>
      </c>
      <c r="I151" s="44">
        <v>10815000</v>
      </c>
      <c r="J151" s="7">
        <f>7931000+10815000+I151+I151+I151+I151+I151+I151</f>
        <v>83636000</v>
      </c>
      <c r="K151" s="3">
        <f t="shared" si="8"/>
        <v>10815000</v>
      </c>
      <c r="L151" s="1">
        <f t="shared" si="9"/>
        <v>0.8854961832061069</v>
      </c>
      <c r="M151" s="34">
        <v>0</v>
      </c>
      <c r="N151" s="2"/>
      <c r="O151" s="31"/>
    </row>
    <row r="152" spans="1:15" ht="112" x14ac:dyDescent="0.2">
      <c r="A152" s="36" t="s">
        <v>481</v>
      </c>
      <c r="B152" s="30">
        <v>1014195504</v>
      </c>
      <c r="C152" s="30">
        <v>9</v>
      </c>
      <c r="D152" s="31" t="s">
        <v>537</v>
      </c>
      <c r="E152" s="30" t="s">
        <v>403</v>
      </c>
      <c r="F152" s="32">
        <v>45757</v>
      </c>
      <c r="G152" s="32">
        <v>45816</v>
      </c>
      <c r="H152" s="44">
        <v>12360000</v>
      </c>
      <c r="I152" s="44">
        <v>6180000</v>
      </c>
      <c r="J152" s="2">
        <f>4326000+6180000+1854000</f>
        <v>12360000</v>
      </c>
      <c r="K152" s="3">
        <f t="shared" si="8"/>
        <v>0</v>
      </c>
      <c r="L152" s="1">
        <f t="shared" si="9"/>
        <v>1</v>
      </c>
      <c r="M152" s="34">
        <v>0</v>
      </c>
      <c r="N152" s="2"/>
      <c r="O152" s="31"/>
    </row>
    <row r="153" spans="1:15" ht="64" x14ac:dyDescent="0.2">
      <c r="A153" s="36" t="s">
        <v>482</v>
      </c>
      <c r="B153" s="30">
        <v>79715801</v>
      </c>
      <c r="C153" s="30">
        <v>1</v>
      </c>
      <c r="D153" s="31" t="s">
        <v>538</v>
      </c>
      <c r="E153" s="30" t="s">
        <v>404</v>
      </c>
      <c r="F153" s="32">
        <v>45757</v>
      </c>
      <c r="G153" s="32">
        <v>46022</v>
      </c>
      <c r="H153" s="44">
        <v>62727000</v>
      </c>
      <c r="I153" s="44">
        <v>7210000</v>
      </c>
      <c r="J153" s="7">
        <f>5047000+7210000+7210000+I153+I153+I153+I153+I153</f>
        <v>55517000</v>
      </c>
      <c r="K153" s="3">
        <f t="shared" si="8"/>
        <v>7210000</v>
      </c>
      <c r="L153" s="1">
        <f t="shared" si="9"/>
        <v>0.88505747126436785</v>
      </c>
      <c r="M153" s="34">
        <v>0</v>
      </c>
      <c r="N153" s="2"/>
      <c r="O153" s="31"/>
    </row>
    <row r="154" spans="1:15" ht="80" x14ac:dyDescent="0.2">
      <c r="A154" s="36" t="s">
        <v>483</v>
      </c>
      <c r="B154" s="30">
        <v>79304933</v>
      </c>
      <c r="C154" s="30">
        <v>1</v>
      </c>
      <c r="D154" s="31" t="s">
        <v>539</v>
      </c>
      <c r="E154" s="30" t="s">
        <v>405</v>
      </c>
      <c r="F154" s="32">
        <v>45757</v>
      </c>
      <c r="G154" s="32">
        <v>46022</v>
      </c>
      <c r="H154" s="44">
        <v>62727000</v>
      </c>
      <c r="I154" s="44">
        <v>7210000</v>
      </c>
      <c r="J154" s="7">
        <f>5047000+7210000+I154+I154+I154+I154+I154+I154</f>
        <v>55517000</v>
      </c>
      <c r="K154" s="3">
        <f t="shared" si="8"/>
        <v>7210000</v>
      </c>
      <c r="L154" s="1">
        <f t="shared" si="9"/>
        <v>0.88505747126436785</v>
      </c>
      <c r="M154" s="34">
        <v>0</v>
      </c>
      <c r="N154" s="2"/>
      <c r="O154" s="31"/>
    </row>
    <row r="155" spans="1:15" ht="64" x14ac:dyDescent="0.2">
      <c r="A155" s="36" t="s">
        <v>484</v>
      </c>
      <c r="B155" s="30">
        <v>1127947690</v>
      </c>
      <c r="C155" s="30">
        <v>9</v>
      </c>
      <c r="D155" s="31" t="s">
        <v>540</v>
      </c>
      <c r="E155" s="30" t="s">
        <v>406</v>
      </c>
      <c r="F155" s="32">
        <v>45757</v>
      </c>
      <c r="G155" s="32">
        <v>46000</v>
      </c>
      <c r="H155" s="44">
        <v>74984000</v>
      </c>
      <c r="I155" s="44">
        <v>9373000</v>
      </c>
      <c r="J155" s="7">
        <f>6561000+I155+I155+I155+I155+I155+I155+I155</f>
        <v>72172000</v>
      </c>
      <c r="K155" s="3">
        <f t="shared" si="8"/>
        <v>2812000</v>
      </c>
      <c r="L155" s="1">
        <f t="shared" si="9"/>
        <v>0.96249866638216153</v>
      </c>
      <c r="M155" s="34">
        <v>0</v>
      </c>
      <c r="N155" s="2"/>
      <c r="O155" s="31"/>
    </row>
    <row r="156" spans="1:15" ht="48" x14ac:dyDescent="0.2">
      <c r="A156" s="36" t="s">
        <v>485</v>
      </c>
      <c r="B156" s="30">
        <v>1048847403</v>
      </c>
      <c r="C156" s="30">
        <v>6</v>
      </c>
      <c r="D156" s="31" t="s">
        <v>541</v>
      </c>
      <c r="E156" s="30" t="s">
        <v>407</v>
      </c>
      <c r="F156" s="32">
        <v>45757</v>
      </c>
      <c r="G156" s="32">
        <v>46022</v>
      </c>
      <c r="H156" s="44">
        <v>58246500</v>
      </c>
      <c r="I156" s="44">
        <v>6695000</v>
      </c>
      <c r="J156" s="7">
        <f>3570666+I156+I156+I156+I156+I156+I156+I156</f>
        <v>50435666</v>
      </c>
      <c r="K156" s="3">
        <f t="shared" si="8"/>
        <v>7810834</v>
      </c>
      <c r="L156" s="1">
        <f t="shared" si="9"/>
        <v>0.86590037169615341</v>
      </c>
      <c r="M156" s="34">
        <v>0</v>
      </c>
      <c r="N156" s="2"/>
      <c r="O156" s="31"/>
    </row>
    <row r="157" spans="1:15" ht="96" x14ac:dyDescent="0.2">
      <c r="A157" s="36" t="s">
        <v>486</v>
      </c>
      <c r="B157" s="30">
        <v>1030574578</v>
      </c>
      <c r="C157" s="30">
        <v>8</v>
      </c>
      <c r="D157" s="31" t="s">
        <v>542</v>
      </c>
      <c r="E157" s="30" t="s">
        <v>408</v>
      </c>
      <c r="F157" s="32">
        <v>45758</v>
      </c>
      <c r="G157" s="32">
        <v>46022</v>
      </c>
      <c r="H157" s="44">
        <v>49096667</v>
      </c>
      <c r="I157" s="44">
        <v>5665000</v>
      </c>
      <c r="J157" s="7">
        <f>3776667+I157+I157+I157+I157+I157+I157+I157</f>
        <v>43431667</v>
      </c>
      <c r="K157" s="3">
        <f t="shared" si="8"/>
        <v>5665000</v>
      </c>
      <c r="L157" s="1">
        <f t="shared" si="9"/>
        <v>0.88461538539876849</v>
      </c>
      <c r="M157" s="34">
        <v>0</v>
      </c>
      <c r="N157" s="2"/>
      <c r="O157" s="31"/>
    </row>
    <row r="158" spans="1:15" ht="64" x14ac:dyDescent="0.2">
      <c r="A158" s="36" t="s">
        <v>487</v>
      </c>
      <c r="B158" s="30">
        <v>1100961438</v>
      </c>
      <c r="C158" s="30">
        <v>9</v>
      </c>
      <c r="D158" s="31" t="s">
        <v>543</v>
      </c>
      <c r="E158" s="30" t="s">
        <v>409</v>
      </c>
      <c r="F158" s="32">
        <v>45761</v>
      </c>
      <c r="G158" s="32">
        <v>46022</v>
      </c>
      <c r="H158" s="44">
        <v>58246500</v>
      </c>
      <c r="I158" s="44">
        <v>6695000</v>
      </c>
      <c r="J158" s="7">
        <f>3793833+I158+I158+I158+I158+I158+I158+I158</f>
        <v>50658833</v>
      </c>
      <c r="K158" s="3">
        <f t="shared" si="8"/>
        <v>7587667</v>
      </c>
      <c r="L158" s="1">
        <f t="shared" si="9"/>
        <v>0.86973179504347897</v>
      </c>
      <c r="M158" s="34">
        <v>0</v>
      </c>
      <c r="N158" s="2"/>
      <c r="O158" s="31"/>
    </row>
    <row r="159" spans="1:15" ht="96" x14ac:dyDescent="0.2">
      <c r="A159" s="36" t="s">
        <v>488</v>
      </c>
      <c r="B159" s="30">
        <v>63514972</v>
      </c>
      <c r="C159" s="30" t="s">
        <v>524</v>
      </c>
      <c r="D159" s="31" t="s">
        <v>544</v>
      </c>
      <c r="E159" s="30" t="s">
        <v>410</v>
      </c>
      <c r="F159" s="32" t="s">
        <v>524</v>
      </c>
      <c r="G159" s="32">
        <v>45999</v>
      </c>
      <c r="H159" s="44">
        <v>62486667</v>
      </c>
      <c r="I159" s="44">
        <v>7210000</v>
      </c>
      <c r="J159" s="7"/>
      <c r="K159" s="3">
        <f t="shared" ref="K159:K189" si="10">H159-J159</f>
        <v>62486667</v>
      </c>
      <c r="L159" s="1">
        <f t="shared" si="9"/>
        <v>0</v>
      </c>
      <c r="M159" s="34">
        <v>0</v>
      </c>
      <c r="N159" s="2"/>
      <c r="O159" s="31"/>
    </row>
    <row r="160" spans="1:15" ht="64" x14ac:dyDescent="0.2">
      <c r="A160" s="36" t="s">
        <v>489</v>
      </c>
      <c r="B160" s="30">
        <v>39526262</v>
      </c>
      <c r="C160" s="30">
        <v>3</v>
      </c>
      <c r="D160" s="31" t="s">
        <v>545</v>
      </c>
      <c r="E160" s="30" t="s">
        <v>411</v>
      </c>
      <c r="F160" s="32">
        <v>45761</v>
      </c>
      <c r="G160" s="32">
        <v>46022</v>
      </c>
      <c r="H160" s="44">
        <v>62486666</v>
      </c>
      <c r="I160" s="44">
        <v>7210000</v>
      </c>
      <c r="J160" s="7">
        <f>4085666+I160+I160+I160+I160+I160+I160+I160</f>
        <v>54555666</v>
      </c>
      <c r="K160" s="3">
        <f t="shared" si="10"/>
        <v>7931000</v>
      </c>
      <c r="L160" s="1">
        <f t="shared" si="9"/>
        <v>0.87307692172278806</v>
      </c>
      <c r="M160" s="34">
        <v>0</v>
      </c>
      <c r="N160" s="2"/>
      <c r="O160" s="31"/>
    </row>
    <row r="161" spans="1:15" ht="32" x14ac:dyDescent="0.2">
      <c r="A161" s="36" t="s">
        <v>490</v>
      </c>
      <c r="B161" s="30">
        <v>800153993</v>
      </c>
      <c r="C161" s="30">
        <v>4</v>
      </c>
      <c r="D161" s="31" t="s">
        <v>546</v>
      </c>
      <c r="E161" s="30" t="s">
        <v>412</v>
      </c>
      <c r="F161" s="32">
        <v>45753</v>
      </c>
      <c r="G161" s="32">
        <v>46006</v>
      </c>
      <c r="H161" s="44">
        <v>67931150</v>
      </c>
      <c r="I161" s="44">
        <v>67931150</v>
      </c>
      <c r="J161" s="7">
        <f>20255968+8155000+8155000</f>
        <v>36565968</v>
      </c>
      <c r="K161" s="3">
        <f>H161-J161</f>
        <v>31365182</v>
      </c>
      <c r="L161" s="1">
        <f t="shared" si="9"/>
        <v>0.53827983185916917</v>
      </c>
      <c r="M161" s="34">
        <v>0</v>
      </c>
      <c r="N161" s="2"/>
      <c r="O161" s="31"/>
    </row>
    <row r="162" spans="1:15" ht="48" x14ac:dyDescent="0.2">
      <c r="A162" s="36" t="s">
        <v>491</v>
      </c>
      <c r="B162" s="30">
        <v>16278200</v>
      </c>
      <c r="C162" s="30">
        <v>9</v>
      </c>
      <c r="D162" s="31" t="s">
        <v>547</v>
      </c>
      <c r="E162" s="30" t="s">
        <v>413</v>
      </c>
      <c r="F162" s="32">
        <v>45763</v>
      </c>
      <c r="G162" s="32">
        <v>46022</v>
      </c>
      <c r="H162" s="44">
        <v>66177500</v>
      </c>
      <c r="I162" s="44">
        <v>7725000</v>
      </c>
      <c r="J162" s="7">
        <f>3862500+I162+I162+I162+I162+I162+I162+I162</f>
        <v>57937500</v>
      </c>
      <c r="K162" s="3">
        <f t="shared" si="10"/>
        <v>8240000</v>
      </c>
      <c r="L162" s="1">
        <f t="shared" si="9"/>
        <v>0.8754863813229572</v>
      </c>
      <c r="M162" s="34">
        <v>0</v>
      </c>
      <c r="N162" s="2"/>
      <c r="O162" s="31"/>
    </row>
    <row r="163" spans="1:15" ht="64" x14ac:dyDescent="0.2">
      <c r="A163" s="36" t="s">
        <v>492</v>
      </c>
      <c r="B163" s="30">
        <v>33102170</v>
      </c>
      <c r="C163" s="30">
        <v>2</v>
      </c>
      <c r="D163" s="31" t="s">
        <v>548</v>
      </c>
      <c r="E163" s="30" t="s">
        <v>414</v>
      </c>
      <c r="F163" s="32">
        <v>45761</v>
      </c>
      <c r="G163" s="32">
        <v>46022</v>
      </c>
      <c r="H163" s="44">
        <v>58023333</v>
      </c>
      <c r="I163" s="44">
        <v>6695000</v>
      </c>
      <c r="J163" s="7">
        <f>3793833+I163+I163+I163+I163+I163+I163+I163</f>
        <v>50658833</v>
      </c>
      <c r="K163" s="3">
        <f t="shared" si="10"/>
        <v>7364500</v>
      </c>
      <c r="L163" s="1">
        <f t="shared" si="9"/>
        <v>0.87307692234777345</v>
      </c>
      <c r="M163" s="34">
        <v>0</v>
      </c>
      <c r="N163" s="2"/>
      <c r="O163" s="31"/>
    </row>
    <row r="164" spans="1:15" ht="80" x14ac:dyDescent="0.2">
      <c r="A164" s="36" t="s">
        <v>493</v>
      </c>
      <c r="B164" s="30">
        <v>1045745169</v>
      </c>
      <c r="C164" s="30">
        <v>8</v>
      </c>
      <c r="D164" s="31" t="s">
        <v>549</v>
      </c>
      <c r="E164" s="30" t="s">
        <v>415</v>
      </c>
      <c r="F164" s="32">
        <v>45761</v>
      </c>
      <c r="G164" s="32">
        <v>46022</v>
      </c>
      <c r="H164" s="44">
        <v>53560000</v>
      </c>
      <c r="I164" s="44">
        <v>6180000</v>
      </c>
      <c r="J164" s="7">
        <f>3296000+I164+I164+I164+I164+I164+I164+I164</f>
        <v>46556000</v>
      </c>
      <c r="K164" s="3">
        <f>H164-J164</f>
        <v>7004000</v>
      </c>
      <c r="L164" s="1">
        <f t="shared" si="9"/>
        <v>0.86923076923076925</v>
      </c>
      <c r="M164" s="34">
        <v>0</v>
      </c>
      <c r="N164" s="2"/>
      <c r="O164" s="31"/>
    </row>
    <row r="165" spans="1:15" ht="48" x14ac:dyDescent="0.2">
      <c r="A165" s="36" t="s">
        <v>494</v>
      </c>
      <c r="B165" s="30">
        <v>1121332735</v>
      </c>
      <c r="C165" s="30">
        <v>1</v>
      </c>
      <c r="D165" s="31" t="s">
        <v>550</v>
      </c>
      <c r="E165" s="30" t="s">
        <v>416</v>
      </c>
      <c r="F165" s="32">
        <v>45761</v>
      </c>
      <c r="G165" s="32">
        <v>46022</v>
      </c>
      <c r="H165" s="44">
        <v>22248000</v>
      </c>
      <c r="I165" s="44">
        <v>3708000</v>
      </c>
      <c r="J165" s="7">
        <f>101200+I165+I165+I165+I165+I165+I165+I165</f>
        <v>26057200</v>
      </c>
      <c r="K165" s="3">
        <f t="shared" si="10"/>
        <v>-3809200</v>
      </c>
      <c r="L165" s="1">
        <f t="shared" si="9"/>
        <v>1.1712153901474289</v>
      </c>
      <c r="M165" s="34">
        <v>0</v>
      </c>
      <c r="N165" s="2"/>
      <c r="O165" s="31"/>
    </row>
    <row r="166" spans="1:15" ht="32" x14ac:dyDescent="0.2">
      <c r="A166" s="36" t="s">
        <v>495</v>
      </c>
      <c r="B166" s="30">
        <v>830075303</v>
      </c>
      <c r="C166" s="30">
        <v>1</v>
      </c>
      <c r="D166" s="31" t="s">
        <v>551</v>
      </c>
      <c r="E166" s="30" t="s">
        <v>417</v>
      </c>
      <c r="F166" s="32">
        <v>45768</v>
      </c>
      <c r="G166" s="32">
        <v>45858</v>
      </c>
      <c r="H166" s="44">
        <v>276606913</v>
      </c>
      <c r="I166" s="44">
        <v>276606913</v>
      </c>
      <c r="J166" s="2">
        <f>276606913</f>
        <v>276606913</v>
      </c>
      <c r="K166" s="3">
        <f t="shared" si="10"/>
        <v>0</v>
      </c>
      <c r="L166" s="1">
        <f t="shared" si="9"/>
        <v>1</v>
      </c>
      <c r="M166" s="34">
        <v>0</v>
      </c>
      <c r="N166" s="2"/>
      <c r="O166" s="31"/>
    </row>
    <row r="167" spans="1:15" ht="64" x14ac:dyDescent="0.2">
      <c r="A167" s="36" t="s">
        <v>496</v>
      </c>
      <c r="B167" s="30">
        <v>65717836</v>
      </c>
      <c r="C167" s="30">
        <v>5</v>
      </c>
      <c r="D167" s="31" t="s">
        <v>552</v>
      </c>
      <c r="E167" s="30" t="s">
        <v>418</v>
      </c>
      <c r="F167" s="32">
        <v>45769</v>
      </c>
      <c r="G167" s="32">
        <v>46022</v>
      </c>
      <c r="H167" s="44">
        <v>51294000</v>
      </c>
      <c r="I167" s="44">
        <v>6180000</v>
      </c>
      <c r="J167" s="7">
        <f>1854000+I167+I167+I167+I167+I167+I167+I167</f>
        <v>45114000</v>
      </c>
      <c r="K167" s="3">
        <f t="shared" si="10"/>
        <v>6180000</v>
      </c>
      <c r="L167" s="1">
        <f t="shared" si="9"/>
        <v>0.87951807228915668</v>
      </c>
      <c r="M167" s="34">
        <v>0</v>
      </c>
      <c r="N167" s="2"/>
      <c r="O167" s="31"/>
    </row>
    <row r="168" spans="1:15" ht="48" x14ac:dyDescent="0.2">
      <c r="A168" s="36" t="s">
        <v>497</v>
      </c>
      <c r="B168" s="30">
        <v>901677435</v>
      </c>
      <c r="C168" s="30"/>
      <c r="D168" s="31" t="s">
        <v>553</v>
      </c>
      <c r="E168" s="30" t="s">
        <v>419</v>
      </c>
      <c r="F168" s="32">
        <v>45758</v>
      </c>
      <c r="G168" s="32">
        <v>46011</v>
      </c>
      <c r="H168" s="44">
        <v>351735305</v>
      </c>
      <c r="I168" s="44">
        <v>351735305</v>
      </c>
      <c r="J168" s="7">
        <f>43966913+43866198.5+44076772+43922969.59</f>
        <v>175832853.09</v>
      </c>
      <c r="K168" s="3">
        <f t="shared" si="10"/>
        <v>175902451.91</v>
      </c>
      <c r="L168" s="1">
        <f t="shared" si="9"/>
        <v>0.49990106364216125</v>
      </c>
      <c r="M168" s="34">
        <v>0</v>
      </c>
      <c r="N168" s="2"/>
      <c r="O168" s="31"/>
    </row>
    <row r="169" spans="1:15" ht="64" x14ac:dyDescent="0.2">
      <c r="A169" s="36" t="s">
        <v>498</v>
      </c>
      <c r="B169" s="30">
        <v>901035950</v>
      </c>
      <c r="C169" s="30"/>
      <c r="D169" s="31" t="s">
        <v>554</v>
      </c>
      <c r="E169" s="30" t="s">
        <v>420</v>
      </c>
      <c r="F169" s="32"/>
      <c r="G169" s="32">
        <v>46022</v>
      </c>
      <c r="H169" s="44">
        <v>1500000</v>
      </c>
      <c r="I169" s="44"/>
      <c r="J169" s="2">
        <v>1500000</v>
      </c>
      <c r="K169" s="3">
        <f t="shared" si="10"/>
        <v>0</v>
      </c>
      <c r="L169" s="1">
        <f t="shared" si="9"/>
        <v>1</v>
      </c>
      <c r="M169" s="34">
        <v>0</v>
      </c>
      <c r="N169" s="2"/>
      <c r="O169" s="31"/>
    </row>
    <row r="170" spans="1:15" ht="48" x14ac:dyDescent="0.2">
      <c r="A170" s="36" t="s">
        <v>499</v>
      </c>
      <c r="B170" s="30">
        <v>1000852262</v>
      </c>
      <c r="C170" s="30">
        <v>1</v>
      </c>
      <c r="D170" s="31" t="s">
        <v>555</v>
      </c>
      <c r="E170" s="30" t="s">
        <v>421</v>
      </c>
      <c r="F170" s="32"/>
      <c r="G170" s="32">
        <v>46022</v>
      </c>
      <c r="H170" s="44">
        <v>36846602</v>
      </c>
      <c r="I170" s="44"/>
      <c r="J170" s="7">
        <v>11111000</v>
      </c>
      <c r="K170" s="3">
        <f t="shared" si="10"/>
        <v>25735602</v>
      </c>
      <c r="L170" s="1">
        <f t="shared" si="9"/>
        <v>0.30154748055193803</v>
      </c>
      <c r="M170" s="34">
        <v>0</v>
      </c>
      <c r="N170" s="2"/>
      <c r="O170" s="31"/>
    </row>
    <row r="171" spans="1:15" ht="32" x14ac:dyDescent="0.2">
      <c r="A171" s="36" t="s">
        <v>500</v>
      </c>
      <c r="B171" s="30"/>
      <c r="C171" s="30"/>
      <c r="D171" s="31" t="s">
        <v>556</v>
      </c>
      <c r="E171" s="30" t="s">
        <v>422</v>
      </c>
      <c r="F171" s="32"/>
      <c r="G171" s="32">
        <v>46022</v>
      </c>
      <c r="H171" s="44">
        <v>46961487</v>
      </c>
      <c r="I171" s="44"/>
      <c r="J171" s="7">
        <f>8882536.91+740606.71+6006344.45+4247983.84</f>
        <v>19877471.91</v>
      </c>
      <c r="K171" s="3">
        <f t="shared" si="10"/>
        <v>27084015.09</v>
      </c>
      <c r="L171" s="1">
        <f t="shared" si="9"/>
        <v>0.42327177395383586</v>
      </c>
      <c r="M171" s="34">
        <v>0</v>
      </c>
      <c r="N171" s="2"/>
      <c r="O171" s="31"/>
    </row>
    <row r="172" spans="1:15" ht="64" x14ac:dyDescent="0.2">
      <c r="A172" s="36" t="s">
        <v>501</v>
      </c>
      <c r="B172" s="30">
        <v>35529449</v>
      </c>
      <c r="C172" s="30">
        <v>2</v>
      </c>
      <c r="D172" s="31" t="s">
        <v>557</v>
      </c>
      <c r="E172" s="30" t="s">
        <v>423</v>
      </c>
      <c r="F172" s="32">
        <v>45763</v>
      </c>
      <c r="G172" s="32">
        <v>46022</v>
      </c>
      <c r="H172" s="44">
        <v>74417500</v>
      </c>
      <c r="I172" s="44">
        <v>8755000</v>
      </c>
      <c r="J172" s="7">
        <f>4377500+I172+I172+I172+I172+I172+I172+I172</f>
        <v>65662500</v>
      </c>
      <c r="K172" s="3">
        <f t="shared" si="10"/>
        <v>8755000</v>
      </c>
      <c r="L172" s="1">
        <f t="shared" si="9"/>
        <v>0.88235294117647056</v>
      </c>
      <c r="M172" s="34">
        <v>0</v>
      </c>
      <c r="N172" s="2"/>
      <c r="O172" s="31"/>
    </row>
    <row r="173" spans="1:15" ht="48" x14ac:dyDescent="0.2">
      <c r="A173" s="36" t="s">
        <v>502</v>
      </c>
      <c r="B173" s="30">
        <v>79737490</v>
      </c>
      <c r="C173" s="30">
        <v>7</v>
      </c>
      <c r="D173" s="31" t="s">
        <v>558</v>
      </c>
      <c r="E173" s="30" t="s">
        <v>424</v>
      </c>
      <c r="F173" s="32">
        <v>45763</v>
      </c>
      <c r="G173" s="32">
        <v>46022</v>
      </c>
      <c r="H173" s="44">
        <v>52530000</v>
      </c>
      <c r="I173" s="44">
        <v>6180000</v>
      </c>
      <c r="J173" s="7">
        <f>3090000+I173+I173+I173+I173+I173+I173+I173</f>
        <v>46350000</v>
      </c>
      <c r="K173" s="3">
        <f t="shared" si="10"/>
        <v>6180000</v>
      </c>
      <c r="L173" s="1">
        <f t="shared" si="9"/>
        <v>0.88235294117647056</v>
      </c>
      <c r="M173" s="34">
        <v>0</v>
      </c>
      <c r="N173" s="2"/>
      <c r="O173" s="31"/>
    </row>
    <row r="174" spans="1:15" ht="64" x14ac:dyDescent="0.2">
      <c r="A174" s="36" t="s">
        <v>503</v>
      </c>
      <c r="B174" s="30">
        <v>6775116</v>
      </c>
      <c r="C174" s="30">
        <v>3</v>
      </c>
      <c r="D174" s="31" t="s">
        <v>559</v>
      </c>
      <c r="E174" s="30" t="s">
        <v>425</v>
      </c>
      <c r="F174" s="32">
        <v>45768</v>
      </c>
      <c r="G174" s="32">
        <v>46022</v>
      </c>
      <c r="H174" s="44">
        <v>68666667</v>
      </c>
      <c r="I174" s="44">
        <v>8240000</v>
      </c>
      <c r="J174" s="7">
        <f>2746667+I174+I174+I174+I174+I174+I174+I174</f>
        <v>60426667</v>
      </c>
      <c r="K174" s="3">
        <f t="shared" si="10"/>
        <v>8240000</v>
      </c>
      <c r="L174" s="1">
        <f t="shared" si="9"/>
        <v>0.88000000058252426</v>
      </c>
      <c r="M174" s="34">
        <v>0</v>
      </c>
      <c r="N174" s="2"/>
      <c r="O174" s="31"/>
    </row>
    <row r="175" spans="1:15" ht="64" x14ac:dyDescent="0.2">
      <c r="A175" s="36" t="s">
        <v>504</v>
      </c>
      <c r="B175" s="30">
        <v>1087753489</v>
      </c>
      <c r="C175" s="30">
        <v>6</v>
      </c>
      <c r="D175" s="31" t="s">
        <v>560</v>
      </c>
      <c r="E175" s="30" t="s">
        <v>426</v>
      </c>
      <c r="F175" s="32">
        <v>45769</v>
      </c>
      <c r="G175" s="32">
        <v>46022</v>
      </c>
      <c r="H175" s="44">
        <v>27390000</v>
      </c>
      <c r="I175" s="44">
        <v>3300000</v>
      </c>
      <c r="J175" s="7">
        <f>990000+I175+I175+I175+I175+I175+I175+I175</f>
        <v>24090000</v>
      </c>
      <c r="K175" s="3">
        <f t="shared" si="10"/>
        <v>3300000</v>
      </c>
      <c r="L175" s="1">
        <f t="shared" si="9"/>
        <v>0.87951807228915668</v>
      </c>
      <c r="M175" s="34">
        <v>0</v>
      </c>
      <c r="N175" s="2"/>
      <c r="O175" s="31"/>
    </row>
    <row r="176" spans="1:15" ht="64" x14ac:dyDescent="0.2">
      <c r="A176" s="36" t="s">
        <v>505</v>
      </c>
      <c r="B176" s="30">
        <v>79987795</v>
      </c>
      <c r="C176" s="30">
        <v>1</v>
      </c>
      <c r="D176" s="31" t="s">
        <v>561</v>
      </c>
      <c r="E176" s="30" t="s">
        <v>427</v>
      </c>
      <c r="F176" s="32">
        <v>45763</v>
      </c>
      <c r="G176" s="32">
        <v>45823</v>
      </c>
      <c r="H176" s="44">
        <v>15450000</v>
      </c>
      <c r="I176" s="44">
        <v>7725000</v>
      </c>
      <c r="J176" s="7">
        <f>3862500+I176</f>
        <v>11587500</v>
      </c>
      <c r="K176" s="3">
        <f t="shared" si="10"/>
        <v>3862500</v>
      </c>
      <c r="L176" s="1">
        <f t="shared" si="9"/>
        <v>0.75</v>
      </c>
      <c r="M176" s="34">
        <v>0</v>
      </c>
      <c r="N176" s="2"/>
      <c r="O176" s="31"/>
    </row>
    <row r="177" spans="1:15" ht="64" x14ac:dyDescent="0.2">
      <c r="A177" s="36" t="s">
        <v>506</v>
      </c>
      <c r="B177" s="30">
        <v>1053807326</v>
      </c>
      <c r="C177" s="30">
        <v>4</v>
      </c>
      <c r="D177" s="31" t="s">
        <v>562</v>
      </c>
      <c r="E177" s="30" t="s">
        <v>428</v>
      </c>
      <c r="F177" s="32">
        <v>45763</v>
      </c>
      <c r="G177" s="32">
        <v>46022</v>
      </c>
      <c r="H177" s="44">
        <v>61285000</v>
      </c>
      <c r="I177" s="44">
        <v>7210000</v>
      </c>
      <c r="J177" s="7">
        <f>3605000+3364667</f>
        <v>6969667</v>
      </c>
      <c r="K177" s="3">
        <f t="shared" si="10"/>
        <v>54315333</v>
      </c>
      <c r="L177" s="1">
        <f t="shared" si="9"/>
        <v>0.11372549563514722</v>
      </c>
      <c r="M177" s="34">
        <v>0</v>
      </c>
      <c r="N177" s="2"/>
      <c r="O177" s="31"/>
    </row>
    <row r="178" spans="1:15" ht="80" x14ac:dyDescent="0.2">
      <c r="A178" s="36" t="s">
        <v>507</v>
      </c>
      <c r="B178" s="30">
        <v>52265179</v>
      </c>
      <c r="C178" s="30">
        <v>6</v>
      </c>
      <c r="D178" s="31" t="s">
        <v>563</v>
      </c>
      <c r="E178" s="30" t="s">
        <v>429</v>
      </c>
      <c r="F178" s="32">
        <v>45763</v>
      </c>
      <c r="G178" s="32">
        <v>46022</v>
      </c>
      <c r="H178" s="44">
        <v>79670500</v>
      </c>
      <c r="I178" s="44">
        <v>9373000</v>
      </c>
      <c r="J178" s="7">
        <f>4686500+9373000+I178+I178+I178+I178+I178+I178</f>
        <v>70297500</v>
      </c>
      <c r="K178" s="3">
        <f t="shared" si="10"/>
        <v>9373000</v>
      </c>
      <c r="L178" s="1">
        <f t="shared" si="9"/>
        <v>0.88235294117647056</v>
      </c>
      <c r="M178" s="34">
        <v>0</v>
      </c>
      <c r="N178" s="2"/>
      <c r="O178" s="31"/>
    </row>
    <row r="179" spans="1:15" ht="96" x14ac:dyDescent="0.2">
      <c r="A179" s="36" t="s">
        <v>508</v>
      </c>
      <c r="B179" s="30">
        <v>1026285734</v>
      </c>
      <c r="C179" s="30">
        <v>6</v>
      </c>
      <c r="D179" s="31" t="s">
        <v>564</v>
      </c>
      <c r="E179" s="30" t="s">
        <v>430</v>
      </c>
      <c r="F179" s="32">
        <v>45769</v>
      </c>
      <c r="G179" s="32">
        <v>46022</v>
      </c>
      <c r="H179" s="44">
        <v>60083333</v>
      </c>
      <c r="I179" s="44">
        <v>7210000</v>
      </c>
      <c r="J179" s="7">
        <f>2163000+I179+I179+I179+I179+I179+I179+I179</f>
        <v>52633000</v>
      </c>
      <c r="K179" s="3">
        <f t="shared" si="10"/>
        <v>7450333</v>
      </c>
      <c r="L179" s="1">
        <f t="shared" si="9"/>
        <v>0.8760000048599168</v>
      </c>
      <c r="M179" s="34">
        <v>0</v>
      </c>
      <c r="N179" s="2"/>
      <c r="O179" s="31"/>
    </row>
    <row r="180" spans="1:15" ht="96" x14ac:dyDescent="0.2">
      <c r="A180" s="36" t="s">
        <v>509</v>
      </c>
      <c r="B180" s="30">
        <v>91527821</v>
      </c>
      <c r="C180" s="30">
        <v>4</v>
      </c>
      <c r="D180" s="31" t="s">
        <v>565</v>
      </c>
      <c r="E180" s="30" t="s">
        <v>431</v>
      </c>
      <c r="F180" s="32">
        <v>45769</v>
      </c>
      <c r="G180" s="32">
        <v>46022</v>
      </c>
      <c r="H180" s="44">
        <v>42916667</v>
      </c>
      <c r="I180" s="44">
        <v>5150000</v>
      </c>
      <c r="J180" s="7">
        <f>1545000+I180+I180+I180+I180+I180+I180+I180</f>
        <v>37595000</v>
      </c>
      <c r="K180" s="3">
        <f t="shared" si="10"/>
        <v>5321667</v>
      </c>
      <c r="L180" s="1">
        <f t="shared" si="9"/>
        <v>0.87599999319611654</v>
      </c>
      <c r="M180" s="34">
        <v>0</v>
      </c>
      <c r="N180" s="2"/>
      <c r="O180" s="31"/>
    </row>
    <row r="181" spans="1:15" ht="64" x14ac:dyDescent="0.2">
      <c r="A181" s="36" t="s">
        <v>6</v>
      </c>
      <c r="B181" s="30">
        <v>1013688295</v>
      </c>
      <c r="C181" s="30">
        <v>7</v>
      </c>
      <c r="D181" s="31" t="s">
        <v>566</v>
      </c>
      <c r="E181" s="30" t="s">
        <v>432</v>
      </c>
      <c r="F181" s="32">
        <v>45763</v>
      </c>
      <c r="G181" s="32">
        <v>46022</v>
      </c>
      <c r="H181" s="44">
        <v>28050000</v>
      </c>
      <c r="I181" s="44">
        <v>3300000</v>
      </c>
      <c r="J181" s="7">
        <f>1650000+3300000+I181+I181+I181+I181+1540000</f>
        <v>19690000</v>
      </c>
      <c r="K181" s="3">
        <f t="shared" si="10"/>
        <v>8360000</v>
      </c>
      <c r="L181" s="1">
        <f t="shared" si="9"/>
        <v>0.70196078431372544</v>
      </c>
      <c r="M181" s="34">
        <v>0</v>
      </c>
      <c r="N181" s="2"/>
      <c r="O181" s="31"/>
    </row>
    <row r="182" spans="1:15" ht="112" x14ac:dyDescent="0.2">
      <c r="A182" s="36" t="s">
        <v>510</v>
      </c>
      <c r="B182" s="30">
        <v>52219533</v>
      </c>
      <c r="C182" s="30">
        <v>5</v>
      </c>
      <c r="D182" s="31" t="s">
        <v>567</v>
      </c>
      <c r="E182" s="30" t="s">
        <v>433</v>
      </c>
      <c r="F182" s="32">
        <v>45768</v>
      </c>
      <c r="G182" s="32">
        <v>46022</v>
      </c>
      <c r="H182" s="44">
        <v>78108333</v>
      </c>
      <c r="I182" s="44">
        <v>9373000</v>
      </c>
      <c r="J182" s="7">
        <f>3124333+I182+I182+I182+I182+I182+I182+I182+I182</f>
        <v>78108333</v>
      </c>
      <c r="K182" s="3">
        <f t="shared" si="10"/>
        <v>0</v>
      </c>
      <c r="L182" s="1">
        <f t="shared" si="9"/>
        <v>1</v>
      </c>
      <c r="M182" s="34">
        <v>0</v>
      </c>
      <c r="N182" s="2"/>
      <c r="O182" s="31"/>
    </row>
    <row r="183" spans="1:15" ht="48" x14ac:dyDescent="0.2">
      <c r="A183" s="36" t="s">
        <v>511</v>
      </c>
      <c r="B183" s="30">
        <v>1014289693</v>
      </c>
      <c r="C183" s="30">
        <v>7</v>
      </c>
      <c r="D183" s="31" t="s">
        <v>568</v>
      </c>
      <c r="E183" s="30" t="s">
        <v>434</v>
      </c>
      <c r="F183" s="32">
        <v>45769</v>
      </c>
      <c r="G183" s="32">
        <v>45859</v>
      </c>
      <c r="H183" s="44">
        <v>18540000</v>
      </c>
      <c r="I183" s="44">
        <v>6180000</v>
      </c>
      <c r="J183" s="7">
        <f>1854000+I183+I183</f>
        <v>14214000</v>
      </c>
      <c r="K183" s="3">
        <f t="shared" si="10"/>
        <v>4326000</v>
      </c>
      <c r="L183" s="1">
        <f t="shared" si="9"/>
        <v>0.76666666666666661</v>
      </c>
      <c r="M183" s="34">
        <v>0</v>
      </c>
      <c r="N183" s="2"/>
      <c r="O183" s="31"/>
    </row>
    <row r="184" spans="1:15" ht="80" x14ac:dyDescent="0.2">
      <c r="A184" s="36" t="s">
        <v>512</v>
      </c>
      <c r="B184" s="30">
        <v>80350391</v>
      </c>
      <c r="C184" s="30">
        <v>7</v>
      </c>
      <c r="D184" s="31" t="s">
        <v>569</v>
      </c>
      <c r="E184" s="30" t="s">
        <v>435</v>
      </c>
      <c r="F184" s="32">
        <v>45769</v>
      </c>
      <c r="G184" s="32">
        <v>46022</v>
      </c>
      <c r="H184" s="44">
        <v>38625000</v>
      </c>
      <c r="I184" s="44">
        <v>4635000</v>
      </c>
      <c r="J184" s="7">
        <f>1390500+I184+I184+I184+I184+I184+I184+I184</f>
        <v>33835500</v>
      </c>
      <c r="K184" s="3">
        <f t="shared" si="10"/>
        <v>4789500</v>
      </c>
      <c r="L184" s="1">
        <f t="shared" si="9"/>
        <v>0.876</v>
      </c>
      <c r="M184" s="34">
        <v>0</v>
      </c>
      <c r="N184" s="2"/>
      <c r="O184" s="31"/>
    </row>
    <row r="185" spans="1:15" ht="64" x14ac:dyDescent="0.2">
      <c r="A185" s="36" t="s">
        <v>513</v>
      </c>
      <c r="B185" s="30">
        <v>1000718758</v>
      </c>
      <c r="C185" s="30">
        <v>8</v>
      </c>
      <c r="D185" s="31" t="s">
        <v>570</v>
      </c>
      <c r="E185" s="30" t="s">
        <v>436</v>
      </c>
      <c r="F185" s="32">
        <v>45770</v>
      </c>
      <c r="G185" s="32">
        <v>46022</v>
      </c>
      <c r="H185" s="44">
        <v>27280000</v>
      </c>
      <c r="I185" s="44">
        <v>3300000</v>
      </c>
      <c r="J185" s="7">
        <f>880000+I185+I185+I185+I185+I185+I185+I185</f>
        <v>23980000</v>
      </c>
      <c r="K185" s="3">
        <f t="shared" si="10"/>
        <v>3300000</v>
      </c>
      <c r="L185" s="1">
        <f t="shared" si="9"/>
        <v>0.87903225806451613</v>
      </c>
      <c r="M185" s="34">
        <v>0</v>
      </c>
      <c r="N185" s="2"/>
      <c r="O185" s="31"/>
    </row>
    <row r="186" spans="1:15" ht="80" x14ac:dyDescent="0.2">
      <c r="A186" s="36" t="s">
        <v>514</v>
      </c>
      <c r="B186" s="30">
        <v>11321559</v>
      </c>
      <c r="C186" s="30">
        <v>2</v>
      </c>
      <c r="D186" s="31" t="s">
        <v>571</v>
      </c>
      <c r="E186" s="30" t="s">
        <v>437</v>
      </c>
      <c r="F186" s="32">
        <v>45771</v>
      </c>
      <c r="G186" s="32">
        <v>46022</v>
      </c>
      <c r="H186" s="44">
        <v>72374666</v>
      </c>
      <c r="I186" s="44">
        <v>8755000</v>
      </c>
      <c r="J186" s="7">
        <f>2334666+I186+I186+I186+I186+I186+I186+I186</f>
        <v>63619666</v>
      </c>
      <c r="K186" s="3">
        <f t="shared" si="10"/>
        <v>8755000</v>
      </c>
      <c r="L186" s="1">
        <f t="shared" si="9"/>
        <v>0.87903225695024279</v>
      </c>
      <c r="M186" s="34">
        <v>0</v>
      </c>
      <c r="N186" s="2"/>
      <c r="O186" s="31"/>
    </row>
    <row r="187" spans="1:15" ht="48" x14ac:dyDescent="0.2">
      <c r="A187" s="36" t="s">
        <v>515</v>
      </c>
      <c r="B187" s="30">
        <v>1140825126</v>
      </c>
      <c r="C187" s="30">
        <v>1</v>
      </c>
      <c r="D187" s="31" t="s">
        <v>572</v>
      </c>
      <c r="E187" s="30" t="s">
        <v>438</v>
      </c>
      <c r="F187" s="32">
        <v>45771</v>
      </c>
      <c r="G187" s="32">
        <v>46022</v>
      </c>
      <c r="H187" s="44">
        <v>51294000</v>
      </c>
      <c r="I187" s="44">
        <v>6180000</v>
      </c>
      <c r="J187" s="7">
        <f>1442000+I187+I187+I187+I187+I187+I187+I187</f>
        <v>44702000</v>
      </c>
      <c r="K187" s="3">
        <f t="shared" si="10"/>
        <v>6592000</v>
      </c>
      <c r="L187" s="1">
        <f t="shared" si="9"/>
        <v>0.87148594377510036</v>
      </c>
      <c r="M187" s="34">
        <v>0</v>
      </c>
      <c r="N187" s="2"/>
      <c r="O187" s="31"/>
    </row>
    <row r="188" spans="1:15" ht="64" x14ac:dyDescent="0.2">
      <c r="A188" s="36" t="s">
        <v>516</v>
      </c>
      <c r="B188" s="30">
        <v>1085321752</v>
      </c>
      <c r="C188" s="30">
        <v>8</v>
      </c>
      <c r="D188" s="31" t="s">
        <v>573</v>
      </c>
      <c r="E188" s="30" t="s">
        <v>439</v>
      </c>
      <c r="F188" s="32">
        <v>45772</v>
      </c>
      <c r="G188" s="32">
        <v>46022</v>
      </c>
      <c r="H188" s="44">
        <v>55122167</v>
      </c>
      <c r="I188" s="44">
        <v>6695000</v>
      </c>
      <c r="J188" s="7">
        <f>I188+I188+1339000+I188+I188+I188+I188+I188</f>
        <v>48204000</v>
      </c>
      <c r="K188" s="3">
        <f t="shared" si="10"/>
        <v>6918167</v>
      </c>
      <c r="L188" s="1">
        <f t="shared" si="9"/>
        <v>0.87449392183728913</v>
      </c>
      <c r="M188" s="34">
        <v>0</v>
      </c>
      <c r="N188" s="2"/>
      <c r="O188" s="31"/>
    </row>
    <row r="189" spans="1:15" ht="48" x14ac:dyDescent="0.2">
      <c r="A189" s="36" t="s">
        <v>517</v>
      </c>
      <c r="B189" s="30">
        <v>94397996</v>
      </c>
      <c r="C189" s="30" t="s">
        <v>524</v>
      </c>
      <c r="D189" s="31" t="s">
        <v>574</v>
      </c>
      <c r="E189" s="30" t="s">
        <v>440</v>
      </c>
      <c r="F189" s="32"/>
      <c r="G189" s="32">
        <v>45893</v>
      </c>
      <c r="H189" s="44">
        <v>45320000</v>
      </c>
      <c r="I189" s="44">
        <v>11330000</v>
      </c>
      <c r="J189" s="27">
        <f>2266000+I189+I189+I189+9064000</f>
        <v>45320000</v>
      </c>
      <c r="K189" s="3">
        <f t="shared" si="10"/>
        <v>0</v>
      </c>
      <c r="L189" s="1">
        <f t="shared" si="9"/>
        <v>1</v>
      </c>
      <c r="M189" s="34">
        <v>0</v>
      </c>
      <c r="N189" s="2"/>
      <c r="O189" s="31"/>
    </row>
    <row r="190" spans="1:15" ht="64" x14ac:dyDescent="0.2">
      <c r="A190" s="36" t="s">
        <v>518</v>
      </c>
      <c r="B190" s="30">
        <v>1013597999</v>
      </c>
      <c r="C190" s="30">
        <v>2</v>
      </c>
      <c r="D190" s="31" t="s">
        <v>575</v>
      </c>
      <c r="E190" s="30" t="s">
        <v>441</v>
      </c>
      <c r="F190" s="32"/>
      <c r="G190" s="32">
        <v>46014</v>
      </c>
      <c r="H190" s="44">
        <v>32136000</v>
      </c>
      <c r="I190" s="44">
        <v>4017000</v>
      </c>
      <c r="J190" s="7">
        <f>937300+I190+I190+I190+I190+I190+I190</f>
        <v>25039300</v>
      </c>
      <c r="K190" s="3">
        <f>H190-J190</f>
        <v>7096700</v>
      </c>
      <c r="L190" s="1">
        <f t="shared" si="9"/>
        <v>0.77916666666666667</v>
      </c>
      <c r="M190" s="34">
        <v>0</v>
      </c>
      <c r="N190" s="2"/>
      <c r="O190" s="31"/>
    </row>
    <row r="191" spans="1:15" ht="64" x14ac:dyDescent="0.2">
      <c r="A191" s="36" t="s">
        <v>519</v>
      </c>
      <c r="B191" s="30">
        <v>1001315186</v>
      </c>
      <c r="C191" s="30">
        <v>3</v>
      </c>
      <c r="D191" s="31" t="s">
        <v>576</v>
      </c>
      <c r="E191" s="30" t="s">
        <v>442</v>
      </c>
      <c r="F191" s="32">
        <v>45772</v>
      </c>
      <c r="G191" s="32">
        <v>46022</v>
      </c>
      <c r="H191" s="44">
        <v>38161500</v>
      </c>
      <c r="I191" s="44">
        <v>4635000</v>
      </c>
      <c r="J191" s="7">
        <f>927000+I191+I191+I191+I191+I191+I191+I191</f>
        <v>33372000</v>
      </c>
      <c r="K191" s="3">
        <f t="shared" ref="K191:K253" si="11">H191-J191</f>
        <v>4789500</v>
      </c>
      <c r="L191" s="1">
        <f t="shared" si="9"/>
        <v>0.87449392712550611</v>
      </c>
      <c r="M191" s="34">
        <v>0</v>
      </c>
      <c r="N191" s="2"/>
      <c r="O191" s="31"/>
    </row>
    <row r="192" spans="1:15" ht="112" x14ac:dyDescent="0.2">
      <c r="A192" s="36" t="s">
        <v>520</v>
      </c>
      <c r="B192" s="30">
        <v>79688495</v>
      </c>
      <c r="C192" s="30">
        <v>2</v>
      </c>
      <c r="D192" s="31" t="s">
        <v>577</v>
      </c>
      <c r="E192" s="30" t="s">
        <v>443</v>
      </c>
      <c r="F192" s="32">
        <v>45775</v>
      </c>
      <c r="G192" s="32">
        <v>46022</v>
      </c>
      <c r="H192" s="44">
        <v>76858600</v>
      </c>
      <c r="I192" s="44">
        <v>9373000</v>
      </c>
      <c r="J192" s="7">
        <f>937300+I192+I192+I192+I192+I192+I192+I192</f>
        <v>66548300</v>
      </c>
      <c r="K192" s="3">
        <f t="shared" si="11"/>
        <v>10310300</v>
      </c>
      <c r="L192" s="1">
        <f t="shared" si="9"/>
        <v>0.86585365853658536</v>
      </c>
      <c r="M192" s="34">
        <v>0</v>
      </c>
      <c r="N192" s="2"/>
      <c r="O192" s="31"/>
    </row>
    <row r="193" spans="1:15" ht="96" x14ac:dyDescent="0.2">
      <c r="A193" s="36" t="s">
        <v>127</v>
      </c>
      <c r="B193" s="30">
        <v>1140864226</v>
      </c>
      <c r="C193" s="30">
        <v>4</v>
      </c>
      <c r="D193" s="31" t="s">
        <v>578</v>
      </c>
      <c r="E193" s="30" t="s">
        <v>444</v>
      </c>
      <c r="F193" s="32">
        <v>45772</v>
      </c>
      <c r="G193" s="32">
        <v>46015</v>
      </c>
      <c r="H193" s="44">
        <v>65920000</v>
      </c>
      <c r="I193" s="44">
        <v>8240000</v>
      </c>
      <c r="J193" s="7">
        <f>1648000+I193</f>
        <v>9888000</v>
      </c>
      <c r="K193" s="3">
        <f t="shared" si="11"/>
        <v>56032000</v>
      </c>
      <c r="L193" s="1">
        <f t="shared" si="9"/>
        <v>0.15000000000000002</v>
      </c>
      <c r="M193" s="34">
        <v>0</v>
      </c>
      <c r="N193" s="2"/>
      <c r="O193" s="31"/>
    </row>
    <row r="194" spans="1:15" ht="64" x14ac:dyDescent="0.2">
      <c r="A194" s="36" t="s">
        <v>521</v>
      </c>
      <c r="B194" s="30">
        <v>1018511897</v>
      </c>
      <c r="C194" s="30">
        <v>9</v>
      </c>
      <c r="D194" s="31" t="s">
        <v>579</v>
      </c>
      <c r="E194" s="30" t="s">
        <v>445</v>
      </c>
      <c r="F194" s="32">
        <v>45775</v>
      </c>
      <c r="G194" s="32">
        <v>46022</v>
      </c>
      <c r="H194" s="44">
        <v>26730000</v>
      </c>
      <c r="I194" s="44">
        <v>3300000</v>
      </c>
      <c r="J194" s="7">
        <f>330000+3300000+I194+I194+I194+I194+I194</f>
        <v>20130000</v>
      </c>
      <c r="K194" s="3">
        <f t="shared" si="11"/>
        <v>6600000</v>
      </c>
      <c r="L194" s="1">
        <f t="shared" ref="L194:L257" si="12">1-(K194/H194)</f>
        <v>0.75308641975308643</v>
      </c>
      <c r="M194" s="34">
        <v>0</v>
      </c>
      <c r="N194" s="2"/>
      <c r="O194" s="31"/>
    </row>
    <row r="195" spans="1:15" ht="64" x14ac:dyDescent="0.2">
      <c r="A195" s="36" t="s">
        <v>522</v>
      </c>
      <c r="B195" s="30">
        <v>36308561</v>
      </c>
      <c r="C195" s="30">
        <v>5</v>
      </c>
      <c r="D195" s="31" t="s">
        <v>580</v>
      </c>
      <c r="E195" s="30" t="s">
        <v>446</v>
      </c>
      <c r="F195" s="32">
        <v>45772</v>
      </c>
      <c r="G195" s="32">
        <v>46022</v>
      </c>
      <c r="H195" s="44">
        <v>46453000</v>
      </c>
      <c r="I195" s="44">
        <v>5665000</v>
      </c>
      <c r="J195" s="7">
        <f>1133000+I195+I195</f>
        <v>12463000</v>
      </c>
      <c r="K195" s="3">
        <f t="shared" si="11"/>
        <v>33990000</v>
      </c>
      <c r="L195" s="1">
        <f t="shared" si="12"/>
        <v>0.26829268292682928</v>
      </c>
      <c r="M195" s="34">
        <v>0</v>
      </c>
      <c r="N195" s="2"/>
      <c r="O195" s="31"/>
    </row>
    <row r="196" spans="1:15" ht="48" x14ac:dyDescent="0.2">
      <c r="A196" s="36" t="s">
        <v>523</v>
      </c>
      <c r="B196" s="30">
        <v>1066176032</v>
      </c>
      <c r="C196" s="30">
        <v>2</v>
      </c>
      <c r="D196" s="31" t="s">
        <v>581</v>
      </c>
      <c r="E196" s="30" t="s">
        <v>447</v>
      </c>
      <c r="F196" s="32">
        <v>45775</v>
      </c>
      <c r="G196" s="32">
        <v>46022</v>
      </c>
      <c r="H196" s="44">
        <v>71791000</v>
      </c>
      <c r="I196" s="44">
        <v>8755000</v>
      </c>
      <c r="J196" s="7">
        <f>875000+I196+I196+I196+I196+I196+I196+I196</f>
        <v>62160000</v>
      </c>
      <c r="K196" s="3">
        <f t="shared" si="11"/>
        <v>9631000</v>
      </c>
      <c r="L196" s="1">
        <f t="shared" si="12"/>
        <v>0.86584669387527691</v>
      </c>
      <c r="M196" s="34">
        <v>0</v>
      </c>
      <c r="N196" s="2"/>
      <c r="O196" s="31"/>
    </row>
    <row r="197" spans="1:15" ht="96" x14ac:dyDescent="0.2">
      <c r="A197" s="36" t="s">
        <v>905</v>
      </c>
      <c r="B197" s="30">
        <v>1037590760</v>
      </c>
      <c r="C197" s="30">
        <v>5</v>
      </c>
      <c r="D197" s="31" t="s">
        <v>582</v>
      </c>
      <c r="E197" s="30" t="s">
        <v>448</v>
      </c>
      <c r="F197" s="32">
        <v>45776</v>
      </c>
      <c r="G197" s="32">
        <v>46022</v>
      </c>
      <c r="H197" s="44">
        <v>54229500</v>
      </c>
      <c r="I197" s="44">
        <v>6695000</v>
      </c>
      <c r="J197" s="7">
        <f>446333+I197+I197+I197+I197+I197+I197+I197</f>
        <v>47311333</v>
      </c>
      <c r="K197" s="3">
        <f t="shared" si="11"/>
        <v>6918167</v>
      </c>
      <c r="L197" s="1">
        <f t="shared" si="12"/>
        <v>0.87242797739237865</v>
      </c>
      <c r="M197" s="34">
        <v>0</v>
      </c>
      <c r="N197" s="2"/>
      <c r="O197" s="31"/>
    </row>
    <row r="198" spans="1:15" ht="112" x14ac:dyDescent="0.2">
      <c r="A198" s="36" t="s">
        <v>663</v>
      </c>
      <c r="B198" s="30">
        <v>1066747791</v>
      </c>
      <c r="C198" s="30">
        <v>5</v>
      </c>
      <c r="D198" s="31" t="s">
        <v>589</v>
      </c>
      <c r="E198" s="30">
        <v>190</v>
      </c>
      <c r="F198" s="32">
        <v>45779</v>
      </c>
      <c r="G198" s="33">
        <v>46022</v>
      </c>
      <c r="H198" s="2">
        <v>50058000</v>
      </c>
      <c r="I198" s="2">
        <v>6180000</v>
      </c>
      <c r="J198" s="7">
        <f>5974000+I198+I198+I198+I198+I198+I198</f>
        <v>43054000</v>
      </c>
      <c r="K198" s="3">
        <f t="shared" si="11"/>
        <v>7004000</v>
      </c>
      <c r="L198" s="1">
        <f t="shared" si="12"/>
        <v>0.86008230452674894</v>
      </c>
      <c r="M198" s="34">
        <v>0</v>
      </c>
      <c r="N198" s="2"/>
      <c r="O198" s="31"/>
    </row>
    <row r="199" spans="1:15" ht="64" x14ac:dyDescent="0.2">
      <c r="A199" s="36" t="s">
        <v>664</v>
      </c>
      <c r="B199" s="30">
        <v>1123733068</v>
      </c>
      <c r="C199" s="30">
        <v>3</v>
      </c>
      <c r="D199" s="31" t="s">
        <v>590</v>
      </c>
      <c r="E199" s="30">
        <v>191</v>
      </c>
      <c r="F199" s="32">
        <v>45782</v>
      </c>
      <c r="G199" s="33">
        <v>46022</v>
      </c>
      <c r="H199" s="2">
        <v>49440000</v>
      </c>
      <c r="I199" s="2">
        <v>6180000</v>
      </c>
      <c r="J199" s="7">
        <f>5356000+I199+I199+I199+I199+I199+I199</f>
        <v>42436000</v>
      </c>
      <c r="K199" s="3">
        <f t="shared" si="11"/>
        <v>7004000</v>
      </c>
      <c r="L199" s="1">
        <f t="shared" si="12"/>
        <v>0.85833333333333339</v>
      </c>
      <c r="M199" s="34">
        <v>0</v>
      </c>
      <c r="N199" s="2"/>
      <c r="O199" s="31"/>
    </row>
    <row r="200" spans="1:15" ht="64" x14ac:dyDescent="0.2">
      <c r="A200" s="36" t="s">
        <v>665</v>
      </c>
      <c r="B200" s="30">
        <v>800211401</v>
      </c>
      <c r="C200" s="30">
        <v>8</v>
      </c>
      <c r="D200" s="31" t="s">
        <v>591</v>
      </c>
      <c r="E200" s="30">
        <v>192</v>
      </c>
      <c r="F200" s="32">
        <v>45779</v>
      </c>
      <c r="G200" s="33">
        <v>46006</v>
      </c>
      <c r="H200" s="2">
        <v>896397456.92999995</v>
      </c>
      <c r="I200" s="2">
        <v>896397456.92999995</v>
      </c>
      <c r="J200" s="7">
        <f>62008846+115474164.47+119385039.97+126400253</f>
        <v>423268303.44</v>
      </c>
      <c r="K200" s="3">
        <f>H200-J200</f>
        <v>473129153.48999995</v>
      </c>
      <c r="L200" s="1">
        <f t="shared" si="12"/>
        <v>0.47218820197194422</v>
      </c>
      <c r="M200" s="34">
        <v>0</v>
      </c>
      <c r="N200" s="2"/>
      <c r="O200" s="31"/>
    </row>
    <row r="201" spans="1:15" ht="64" x14ac:dyDescent="0.2">
      <c r="A201" s="36" t="s">
        <v>666</v>
      </c>
      <c r="B201" s="30">
        <v>1106901259</v>
      </c>
      <c r="C201" s="30">
        <v>2</v>
      </c>
      <c r="D201" s="31" t="s">
        <v>592</v>
      </c>
      <c r="E201" s="30">
        <v>193</v>
      </c>
      <c r="F201" s="32">
        <v>45779</v>
      </c>
      <c r="G201" s="33">
        <v>45931</v>
      </c>
      <c r="H201" s="2">
        <v>16500000</v>
      </c>
      <c r="I201" s="2">
        <v>3300000</v>
      </c>
      <c r="J201" s="7">
        <f>3190000+I201+I201+I201+I201+I201+I201</f>
        <v>22990000</v>
      </c>
      <c r="K201" s="3">
        <f t="shared" si="11"/>
        <v>-6490000</v>
      </c>
      <c r="L201" s="1">
        <f t="shared" si="12"/>
        <v>1.3933333333333333</v>
      </c>
      <c r="M201" s="34">
        <v>0</v>
      </c>
      <c r="N201" s="2"/>
      <c r="O201" s="31"/>
    </row>
    <row r="202" spans="1:15" ht="48" x14ac:dyDescent="0.2">
      <c r="A202" s="36" t="s">
        <v>667</v>
      </c>
      <c r="B202" s="30">
        <v>52334767</v>
      </c>
      <c r="C202" s="30">
        <v>3</v>
      </c>
      <c r="D202" s="31" t="s">
        <v>593</v>
      </c>
      <c r="E202" s="30">
        <v>194</v>
      </c>
      <c r="F202" s="32">
        <v>45779</v>
      </c>
      <c r="G202" s="33">
        <v>46022</v>
      </c>
      <c r="H202" s="2">
        <v>65645333</v>
      </c>
      <c r="I202" s="2">
        <v>8240000</v>
      </c>
      <c r="J202" s="7">
        <f>7965333+I202+I202+I202+I202+I202+I202+I202</f>
        <v>65645333</v>
      </c>
      <c r="K202" s="3">
        <f>H202-J202</f>
        <v>0</v>
      </c>
      <c r="L202" s="1">
        <f t="shared" si="12"/>
        <v>1</v>
      </c>
      <c r="M202" s="34">
        <v>0</v>
      </c>
      <c r="N202" s="2"/>
      <c r="O202" s="31"/>
    </row>
    <row r="203" spans="1:15" ht="80" x14ac:dyDescent="0.2">
      <c r="A203" s="36" t="s">
        <v>668</v>
      </c>
      <c r="B203" s="30">
        <v>1099213505</v>
      </c>
      <c r="C203" s="30">
        <v>3</v>
      </c>
      <c r="D203" s="31" t="s">
        <v>594</v>
      </c>
      <c r="E203" s="30">
        <v>195</v>
      </c>
      <c r="F203" s="32">
        <v>45779</v>
      </c>
      <c r="G203" s="33">
        <v>46022</v>
      </c>
      <c r="H203" s="2">
        <v>26290000</v>
      </c>
      <c r="I203" s="2">
        <v>3300000</v>
      </c>
      <c r="J203" s="7">
        <f>3190000+I203+I203+I203+I203+I203</f>
        <v>19690000</v>
      </c>
      <c r="K203" s="3">
        <f t="shared" si="11"/>
        <v>6600000</v>
      </c>
      <c r="L203" s="1">
        <f t="shared" si="12"/>
        <v>0.7489539748953975</v>
      </c>
      <c r="M203" s="34">
        <v>0</v>
      </c>
      <c r="N203" s="2"/>
      <c r="O203" s="31"/>
    </row>
    <row r="204" spans="1:15" ht="112" x14ac:dyDescent="0.2">
      <c r="A204" s="36" t="s">
        <v>669</v>
      </c>
      <c r="B204" s="30">
        <v>79883532</v>
      </c>
      <c r="C204" s="30">
        <v>2</v>
      </c>
      <c r="D204" s="31" t="s">
        <v>595</v>
      </c>
      <c r="E204" s="30">
        <v>196</v>
      </c>
      <c r="F204" s="32">
        <v>45779</v>
      </c>
      <c r="G204" s="33">
        <v>46022</v>
      </c>
      <c r="H204" s="2">
        <v>65645333</v>
      </c>
      <c r="I204" s="2">
        <v>8240000</v>
      </c>
      <c r="J204" s="7">
        <f>7965333+8240000+I204+I204+I204+I204+I204</f>
        <v>57405333</v>
      </c>
      <c r="K204" s="3">
        <f t="shared" si="11"/>
        <v>8240000</v>
      </c>
      <c r="L204" s="1">
        <f t="shared" si="12"/>
        <v>0.87447698681031905</v>
      </c>
      <c r="M204" s="34">
        <v>0</v>
      </c>
      <c r="N204" s="2"/>
      <c r="O204" s="31"/>
    </row>
    <row r="205" spans="1:15" ht="48" x14ac:dyDescent="0.2">
      <c r="A205" s="36" t="s">
        <v>670</v>
      </c>
      <c r="B205" s="30">
        <v>52069018</v>
      </c>
      <c r="C205" s="30">
        <v>9</v>
      </c>
      <c r="D205" s="31" t="s">
        <v>596</v>
      </c>
      <c r="E205" s="30">
        <v>197</v>
      </c>
      <c r="F205" s="32">
        <v>45779</v>
      </c>
      <c r="G205" s="33">
        <v>46022</v>
      </c>
      <c r="H205" s="2">
        <v>65645333</v>
      </c>
      <c r="I205" s="2">
        <v>8240000</v>
      </c>
      <c r="J205" s="7">
        <f>7965333+I205+I205+I205+I205+I205+I205</f>
        <v>57405333</v>
      </c>
      <c r="K205" s="3">
        <f t="shared" si="11"/>
        <v>8240000</v>
      </c>
      <c r="L205" s="1">
        <f t="shared" si="12"/>
        <v>0.87447698681031905</v>
      </c>
      <c r="M205" s="34">
        <v>0</v>
      </c>
      <c r="N205" s="2"/>
      <c r="O205" s="31"/>
    </row>
    <row r="206" spans="1:15" ht="64" x14ac:dyDescent="0.2">
      <c r="A206" s="36" t="s">
        <v>671</v>
      </c>
      <c r="B206" s="30">
        <v>1118555258</v>
      </c>
      <c r="C206" s="30">
        <v>4</v>
      </c>
      <c r="D206" s="31" t="s">
        <v>597</v>
      </c>
      <c r="E206" s="30">
        <v>198</v>
      </c>
      <c r="F206" s="32">
        <v>45693</v>
      </c>
      <c r="G206" s="33">
        <v>46022</v>
      </c>
      <c r="H206" s="2">
        <v>56718667</v>
      </c>
      <c r="I206" s="2">
        <v>7210000</v>
      </c>
      <c r="J206" s="7">
        <f>6248667+I206+I206+I206+I206+I206</f>
        <v>42298667</v>
      </c>
      <c r="K206" s="3">
        <f t="shared" si="11"/>
        <v>14420000</v>
      </c>
      <c r="L206" s="1">
        <f t="shared" si="12"/>
        <v>0.74576271335854916</v>
      </c>
      <c r="M206" s="34">
        <v>0</v>
      </c>
      <c r="N206" s="2"/>
      <c r="O206" s="31"/>
    </row>
    <row r="207" spans="1:15" ht="48" x14ac:dyDescent="0.2">
      <c r="A207" s="36" t="s">
        <v>672</v>
      </c>
      <c r="B207" s="30">
        <v>35198703</v>
      </c>
      <c r="C207" s="30">
        <v>7</v>
      </c>
      <c r="D207" s="31" t="s">
        <v>598</v>
      </c>
      <c r="E207" s="30">
        <v>199</v>
      </c>
      <c r="F207" s="32">
        <v>45784</v>
      </c>
      <c r="G207" s="33">
        <v>46022</v>
      </c>
      <c r="H207" s="2">
        <v>36925500</v>
      </c>
      <c r="I207" s="2">
        <v>4635000</v>
      </c>
      <c r="J207" s="7">
        <f>3708000+4635000+4635000+I207+I207+I207+I207</f>
        <v>31518000</v>
      </c>
      <c r="K207" s="3">
        <f t="shared" si="11"/>
        <v>5407500</v>
      </c>
      <c r="L207" s="1">
        <f t="shared" si="12"/>
        <v>0.85355648535564854</v>
      </c>
      <c r="M207" s="34">
        <v>0</v>
      </c>
      <c r="N207" s="2"/>
      <c r="O207" s="31"/>
    </row>
    <row r="208" spans="1:15" ht="80" x14ac:dyDescent="0.2">
      <c r="A208" s="36" t="s">
        <v>673</v>
      </c>
      <c r="B208" s="30">
        <v>1098720866</v>
      </c>
      <c r="C208" s="30">
        <v>8</v>
      </c>
      <c r="D208" s="31" t="s">
        <v>599</v>
      </c>
      <c r="E208" s="30">
        <v>200</v>
      </c>
      <c r="F208" s="32">
        <v>45779</v>
      </c>
      <c r="G208" s="33">
        <v>46022</v>
      </c>
      <c r="H208" s="2">
        <v>26290000</v>
      </c>
      <c r="I208" s="2">
        <v>3300000</v>
      </c>
      <c r="J208" s="7">
        <f>3190000+I208+I208</f>
        <v>9790000</v>
      </c>
      <c r="K208" s="3">
        <f t="shared" si="11"/>
        <v>16500000</v>
      </c>
      <c r="L208" s="1">
        <f t="shared" si="12"/>
        <v>0.37238493723849375</v>
      </c>
      <c r="M208" s="34">
        <v>0</v>
      </c>
      <c r="N208" s="2"/>
      <c r="O208" s="31"/>
    </row>
    <row r="209" spans="1:15" ht="96" x14ac:dyDescent="0.2">
      <c r="A209" s="36" t="s">
        <v>114</v>
      </c>
      <c r="B209" s="30">
        <v>52538558</v>
      </c>
      <c r="C209" s="30">
        <v>7</v>
      </c>
      <c r="D209" s="31" t="s">
        <v>600</v>
      </c>
      <c r="E209" s="30">
        <v>201</v>
      </c>
      <c r="F209" s="32">
        <v>45779</v>
      </c>
      <c r="G209" s="33">
        <v>46022</v>
      </c>
      <c r="H209" s="2">
        <v>74671566</v>
      </c>
      <c r="I209" s="2">
        <v>9373000</v>
      </c>
      <c r="J209" s="7">
        <f>9060566+I209+I209+I209+I209+I209+I209</f>
        <v>65298566</v>
      </c>
      <c r="K209" s="3">
        <f t="shared" si="11"/>
        <v>9373000</v>
      </c>
      <c r="L209" s="1">
        <f t="shared" si="12"/>
        <v>0.87447698632703108</v>
      </c>
      <c r="M209" s="34">
        <v>0</v>
      </c>
      <c r="N209" s="2"/>
      <c r="O209" s="31"/>
    </row>
    <row r="210" spans="1:15" ht="64" x14ac:dyDescent="0.2">
      <c r="A210" s="36" t="s">
        <v>674</v>
      </c>
      <c r="B210" s="30">
        <v>52547844</v>
      </c>
      <c r="C210" s="30">
        <v>7</v>
      </c>
      <c r="D210" s="31" t="s">
        <v>601</v>
      </c>
      <c r="E210" s="30">
        <v>202</v>
      </c>
      <c r="F210" s="32">
        <v>45782</v>
      </c>
      <c r="G210" s="33">
        <v>46022</v>
      </c>
      <c r="H210" s="2">
        <v>48616000</v>
      </c>
      <c r="I210" s="2">
        <v>6180000</v>
      </c>
      <c r="J210" s="7">
        <f>5356000+I210+I210+I210+I210+I210+I210</f>
        <v>42436000</v>
      </c>
      <c r="K210" s="3">
        <f t="shared" si="11"/>
        <v>6180000</v>
      </c>
      <c r="L210" s="1">
        <f t="shared" si="12"/>
        <v>0.8728813559322034</v>
      </c>
      <c r="M210" s="34">
        <v>0</v>
      </c>
      <c r="N210" s="2"/>
      <c r="O210" s="31"/>
    </row>
    <row r="211" spans="1:15" ht="128" x14ac:dyDescent="0.2">
      <c r="A211" s="36" t="s">
        <v>675</v>
      </c>
      <c r="B211" s="30">
        <v>830051851</v>
      </c>
      <c r="C211" s="30">
        <v>0</v>
      </c>
      <c r="D211" s="31" t="s">
        <v>602</v>
      </c>
      <c r="E211" s="30">
        <v>203</v>
      </c>
      <c r="F211" s="32">
        <v>45785</v>
      </c>
      <c r="G211" s="33">
        <v>45968</v>
      </c>
      <c r="H211" s="2">
        <v>80896200</v>
      </c>
      <c r="I211" s="2" t="s">
        <v>727</v>
      </c>
      <c r="J211" s="7">
        <f>10336736+13482700+13482700+13482700+13482700</f>
        <v>64267536</v>
      </c>
      <c r="K211" s="3">
        <f t="shared" si="11"/>
        <v>16628664</v>
      </c>
      <c r="L211" s="1">
        <f t="shared" si="12"/>
        <v>0.79444443620343108</v>
      </c>
      <c r="M211" s="34">
        <v>0</v>
      </c>
      <c r="N211" s="2"/>
      <c r="O211" s="31"/>
    </row>
    <row r="212" spans="1:15" ht="96" x14ac:dyDescent="0.2">
      <c r="A212" s="36" t="s">
        <v>676</v>
      </c>
      <c r="B212" s="30">
        <v>1116547310</v>
      </c>
      <c r="C212" s="30">
        <v>9</v>
      </c>
      <c r="D212" s="31" t="s">
        <v>603</v>
      </c>
      <c r="E212" s="30">
        <v>204</v>
      </c>
      <c r="F212" s="32">
        <v>45785</v>
      </c>
      <c r="G212" s="33">
        <v>45967</v>
      </c>
      <c r="H212" s="2">
        <v>33990000</v>
      </c>
      <c r="I212" s="2">
        <v>5665000</v>
      </c>
      <c r="J212" s="7">
        <f>4343166+I212+I212+I212+I212+I212+I212+1321834</f>
        <v>39655000</v>
      </c>
      <c r="K212" s="3">
        <f t="shared" si="11"/>
        <v>-5665000</v>
      </c>
      <c r="L212" s="1">
        <f t="shared" si="12"/>
        <v>1.1666666666666667</v>
      </c>
      <c r="M212" s="34">
        <v>0</v>
      </c>
      <c r="N212" s="2"/>
      <c r="O212" s="31"/>
    </row>
    <row r="213" spans="1:15" ht="96" x14ac:dyDescent="0.2">
      <c r="A213" s="36" t="s">
        <v>677</v>
      </c>
      <c r="B213" s="30">
        <v>1016063470</v>
      </c>
      <c r="C213" s="30">
        <v>8</v>
      </c>
      <c r="D213" s="31" t="s">
        <v>604</v>
      </c>
      <c r="E213" s="30">
        <v>205</v>
      </c>
      <c r="F213" s="32">
        <v>45785</v>
      </c>
      <c r="G213" s="33">
        <v>45968</v>
      </c>
      <c r="H213" s="2">
        <v>33990000</v>
      </c>
      <c r="I213" s="2">
        <v>5665000</v>
      </c>
      <c r="J213" s="7">
        <f>4343167+I213+I213+I213</f>
        <v>21338167</v>
      </c>
      <c r="K213" s="3">
        <f t="shared" si="11"/>
        <v>12651833</v>
      </c>
      <c r="L213" s="1">
        <f t="shared" si="12"/>
        <v>0.62777778758458369</v>
      </c>
      <c r="M213" s="34">
        <v>0</v>
      </c>
      <c r="N213" s="2"/>
      <c r="O213" s="31"/>
    </row>
    <row r="214" spans="1:15" ht="96" x14ac:dyDescent="0.2">
      <c r="A214" s="36" t="s">
        <v>678</v>
      </c>
      <c r="B214" s="30">
        <v>1033763829</v>
      </c>
      <c r="C214" s="30">
        <v>3</v>
      </c>
      <c r="D214" s="31" t="s">
        <v>605</v>
      </c>
      <c r="E214" s="30">
        <v>206</v>
      </c>
      <c r="F214" s="32">
        <v>45785</v>
      </c>
      <c r="G214" s="33">
        <v>45968</v>
      </c>
      <c r="H214" s="2">
        <v>33990000</v>
      </c>
      <c r="I214" s="2">
        <v>5665000</v>
      </c>
      <c r="J214" s="7">
        <f>4343166+I214+I214+I214+I214+I214</f>
        <v>32668166</v>
      </c>
      <c r="K214" s="3">
        <f t="shared" si="11"/>
        <v>1321834</v>
      </c>
      <c r="L214" s="1">
        <f t="shared" si="12"/>
        <v>0.96111109149749929</v>
      </c>
      <c r="M214" s="34">
        <v>0</v>
      </c>
      <c r="N214" s="2"/>
      <c r="O214" s="31"/>
    </row>
    <row r="215" spans="1:15" ht="96" x14ac:dyDescent="0.2">
      <c r="A215" s="36" t="s">
        <v>679</v>
      </c>
      <c r="B215" s="30">
        <v>53045693</v>
      </c>
      <c r="C215" s="30">
        <v>0</v>
      </c>
      <c r="D215" s="31" t="s">
        <v>606</v>
      </c>
      <c r="E215" s="30">
        <v>207</v>
      </c>
      <c r="F215" s="32">
        <v>45785</v>
      </c>
      <c r="G215" s="33">
        <v>45968</v>
      </c>
      <c r="H215" s="2">
        <v>61800000</v>
      </c>
      <c r="I215" s="2">
        <v>10300000</v>
      </c>
      <c r="J215" s="7">
        <f>7896666+I215+I215+I215+I215+I215+I215</f>
        <v>69696666</v>
      </c>
      <c r="K215" s="3">
        <f>H215-J215</f>
        <v>-7896666</v>
      </c>
      <c r="L215" s="1">
        <f t="shared" si="12"/>
        <v>1.1277777669902913</v>
      </c>
      <c r="M215" s="34">
        <v>0</v>
      </c>
      <c r="N215" s="2"/>
      <c r="O215" s="31"/>
    </row>
    <row r="216" spans="1:15" ht="80" x14ac:dyDescent="0.2">
      <c r="A216" s="36" t="s">
        <v>680</v>
      </c>
      <c r="B216" s="30">
        <v>81717601</v>
      </c>
      <c r="C216" s="30">
        <v>1</v>
      </c>
      <c r="D216" s="31" t="s">
        <v>607</v>
      </c>
      <c r="E216" s="30">
        <v>208</v>
      </c>
      <c r="F216" s="32">
        <v>45785</v>
      </c>
      <c r="G216" s="33">
        <v>45968</v>
      </c>
      <c r="H216" s="2">
        <v>56238000</v>
      </c>
      <c r="I216" s="2">
        <v>9373000</v>
      </c>
      <c r="J216" s="7">
        <f>7185966+I216+I216+I216+I216+I216</f>
        <v>54050966</v>
      </c>
      <c r="K216" s="3">
        <f t="shared" si="11"/>
        <v>2187034</v>
      </c>
      <c r="L216" s="1">
        <f t="shared" si="12"/>
        <v>0.96111109925673033</v>
      </c>
      <c r="M216" s="34">
        <v>0</v>
      </c>
      <c r="N216" s="2"/>
      <c r="O216" s="31"/>
    </row>
    <row r="217" spans="1:15" ht="96" x14ac:dyDescent="0.2">
      <c r="A217" s="36" t="s">
        <v>681</v>
      </c>
      <c r="B217" s="30">
        <v>1072662456</v>
      </c>
      <c r="C217" s="30">
        <v>8</v>
      </c>
      <c r="D217" s="31" t="s">
        <v>608</v>
      </c>
      <c r="E217" s="30">
        <v>209</v>
      </c>
      <c r="F217" s="32">
        <v>45782</v>
      </c>
      <c r="G217" s="33">
        <v>46022</v>
      </c>
      <c r="H217" s="2">
        <v>64821333</v>
      </c>
      <c r="I217" s="2">
        <v>8240000</v>
      </c>
      <c r="J217" s="7">
        <f>7141333+I217+I217+I217+I217+I217+I217</f>
        <v>56581333</v>
      </c>
      <c r="K217" s="3">
        <f t="shared" si="11"/>
        <v>8240000</v>
      </c>
      <c r="L217" s="1">
        <f t="shared" si="12"/>
        <v>0.87288135527851607</v>
      </c>
      <c r="M217" s="34">
        <v>0</v>
      </c>
      <c r="N217" s="2"/>
      <c r="O217" s="31"/>
    </row>
    <row r="218" spans="1:15" ht="64" x14ac:dyDescent="0.2">
      <c r="A218" s="36" t="s">
        <v>682</v>
      </c>
      <c r="B218" s="30">
        <v>33367099</v>
      </c>
      <c r="C218" s="30">
        <v>4</v>
      </c>
      <c r="D218" s="31" t="s">
        <v>609</v>
      </c>
      <c r="E218" s="30">
        <v>210</v>
      </c>
      <c r="F218" s="32">
        <v>45784</v>
      </c>
      <c r="G218" s="33">
        <v>46022</v>
      </c>
      <c r="H218" s="2">
        <v>64272000</v>
      </c>
      <c r="I218" s="2">
        <v>8240000</v>
      </c>
      <c r="J218" s="7">
        <f>6592000+I218+I218+I218+I218+I218+I218+I218</f>
        <v>64272000</v>
      </c>
      <c r="K218" s="3">
        <f t="shared" si="11"/>
        <v>0</v>
      </c>
      <c r="L218" s="1">
        <f t="shared" si="12"/>
        <v>1</v>
      </c>
      <c r="M218" s="34">
        <v>0</v>
      </c>
      <c r="N218" s="2"/>
      <c r="O218" s="31"/>
    </row>
    <row r="219" spans="1:15" ht="64" x14ac:dyDescent="0.2">
      <c r="A219" s="36" t="s">
        <v>683</v>
      </c>
      <c r="B219" s="30"/>
      <c r="C219" s="30"/>
      <c r="D219" s="31" t="s">
        <v>610</v>
      </c>
      <c r="E219" s="30">
        <v>211</v>
      </c>
      <c r="F219" s="30"/>
      <c r="G219" s="33"/>
      <c r="H219" s="2">
        <v>531500000</v>
      </c>
      <c r="I219" s="2"/>
      <c r="J219" s="7">
        <f>76805109.44+8234790.56+46805209.44+8234790.46+8234790.56+76805209.44+76805209.4476805</f>
        <v>301925109.34768051</v>
      </c>
      <c r="K219" s="3">
        <f>H219-J219</f>
        <v>229574890.65231949</v>
      </c>
      <c r="L219" s="1">
        <f t="shared" si="12"/>
        <v>0.56806229416308662</v>
      </c>
      <c r="M219" s="34">
        <v>0</v>
      </c>
      <c r="N219" s="2"/>
      <c r="O219" s="31"/>
    </row>
    <row r="220" spans="1:15" ht="80" x14ac:dyDescent="0.2">
      <c r="A220" s="36" t="s">
        <v>139</v>
      </c>
      <c r="B220" s="30">
        <v>79595786</v>
      </c>
      <c r="C220" s="30">
        <v>6</v>
      </c>
      <c r="D220" s="31" t="s">
        <v>611</v>
      </c>
      <c r="E220" s="30">
        <v>212</v>
      </c>
      <c r="F220" s="32">
        <v>45784</v>
      </c>
      <c r="G220" s="33">
        <v>46022</v>
      </c>
      <c r="H220" s="2">
        <v>68289000</v>
      </c>
      <c r="I220" s="2">
        <v>8755000</v>
      </c>
      <c r="J220" s="7">
        <f>7004000+I220+I220+8755000+I220+I220+I220</f>
        <v>59534000</v>
      </c>
      <c r="K220" s="3">
        <f t="shared" si="11"/>
        <v>8755000</v>
      </c>
      <c r="L220" s="1">
        <f t="shared" si="12"/>
        <v>0.87179487179487181</v>
      </c>
      <c r="M220" s="34">
        <v>0</v>
      </c>
      <c r="N220" s="2"/>
      <c r="O220" s="31"/>
    </row>
    <row r="221" spans="1:15" ht="80" x14ac:dyDescent="0.2">
      <c r="A221" s="36" t="s">
        <v>119</v>
      </c>
      <c r="B221" s="30">
        <v>1010215529</v>
      </c>
      <c r="C221" s="30">
        <v>5</v>
      </c>
      <c r="D221" s="31" t="s">
        <v>612</v>
      </c>
      <c r="E221" s="30">
        <v>213</v>
      </c>
      <c r="F221" s="32">
        <v>45784</v>
      </c>
      <c r="G221" s="33">
        <v>46022</v>
      </c>
      <c r="H221" s="2">
        <v>68289000</v>
      </c>
      <c r="I221" s="2">
        <v>8755000</v>
      </c>
      <c r="J221" s="7">
        <f>7004000+I221+I221+I221+I221+I221</f>
        <v>50779000</v>
      </c>
      <c r="K221" s="3">
        <f t="shared" si="11"/>
        <v>17510000</v>
      </c>
      <c r="L221" s="1">
        <f t="shared" si="12"/>
        <v>0.74358974358974361</v>
      </c>
      <c r="M221" s="34">
        <v>0</v>
      </c>
      <c r="N221" s="2"/>
      <c r="O221" s="31"/>
    </row>
    <row r="222" spans="1:15" ht="48" x14ac:dyDescent="0.2">
      <c r="A222" s="36" t="s">
        <v>684</v>
      </c>
      <c r="B222" s="30">
        <v>80449429</v>
      </c>
      <c r="C222" s="30">
        <v>5</v>
      </c>
      <c r="D222" s="31" t="s">
        <v>613</v>
      </c>
      <c r="E222" s="30">
        <v>214</v>
      </c>
      <c r="F222" s="32">
        <v>45783</v>
      </c>
      <c r="G222" s="33">
        <v>46022</v>
      </c>
      <c r="H222" s="2">
        <v>60770000</v>
      </c>
      <c r="I222" s="2">
        <v>7725000</v>
      </c>
      <c r="J222" s="7">
        <f>7725000+I222+I222+I222</f>
        <v>30900000</v>
      </c>
      <c r="K222" s="3">
        <f t="shared" si="11"/>
        <v>29870000</v>
      </c>
      <c r="L222" s="1">
        <f t="shared" si="12"/>
        <v>0.50847457627118642</v>
      </c>
      <c r="M222" s="34">
        <v>0</v>
      </c>
      <c r="N222" s="2"/>
      <c r="O222" s="31"/>
    </row>
    <row r="223" spans="1:15" ht="96" x14ac:dyDescent="0.2">
      <c r="A223" s="36" t="s">
        <v>685</v>
      </c>
      <c r="B223" s="30">
        <v>52793513</v>
      </c>
      <c r="C223" s="30">
        <v>8</v>
      </c>
      <c r="D223" s="31" t="s">
        <v>614</v>
      </c>
      <c r="E223" s="30">
        <v>215</v>
      </c>
      <c r="F223" s="32">
        <v>45784</v>
      </c>
      <c r="G223" s="33">
        <v>46022</v>
      </c>
      <c r="H223" s="2">
        <v>52221000</v>
      </c>
      <c r="I223" s="2">
        <v>6695000</v>
      </c>
      <c r="J223" s="7">
        <f>6695000+5356000+I223+7725000+I223+7725000+I223+I223+I223+I223</f>
        <v>67671000</v>
      </c>
      <c r="K223" s="3">
        <f t="shared" si="11"/>
        <v>-15450000</v>
      </c>
      <c r="L223" s="1">
        <f t="shared" si="12"/>
        <v>1.2958579881656804</v>
      </c>
      <c r="M223" s="34">
        <v>0</v>
      </c>
      <c r="N223" s="2"/>
      <c r="O223" s="31"/>
    </row>
    <row r="224" spans="1:15" ht="112" x14ac:dyDescent="0.2">
      <c r="A224" s="36" t="s">
        <v>686</v>
      </c>
      <c r="B224" s="30">
        <v>35417492</v>
      </c>
      <c r="C224" s="30">
        <v>9</v>
      </c>
      <c r="D224" s="31" t="s">
        <v>615</v>
      </c>
      <c r="E224" s="30">
        <v>216</v>
      </c>
      <c r="F224" s="32">
        <v>45783</v>
      </c>
      <c r="G224" s="33">
        <v>46022</v>
      </c>
      <c r="H224" s="2">
        <v>52444167</v>
      </c>
      <c r="I224" s="2">
        <v>6695000</v>
      </c>
      <c r="J224" s="7">
        <f>5579167+I224+I224+I224+I224+I224+I224</f>
        <v>45749167</v>
      </c>
      <c r="K224" s="3">
        <f t="shared" si="11"/>
        <v>6695000</v>
      </c>
      <c r="L224" s="1">
        <f t="shared" si="12"/>
        <v>0.87234042634331477</v>
      </c>
      <c r="M224" s="34">
        <v>0</v>
      </c>
      <c r="N224" s="2"/>
      <c r="O224" s="31"/>
    </row>
    <row r="225" spans="1:15" ht="80" x14ac:dyDescent="0.2">
      <c r="A225" s="36" t="s">
        <v>687</v>
      </c>
      <c r="B225" s="30">
        <v>1121332207</v>
      </c>
      <c r="C225" s="30">
        <v>2</v>
      </c>
      <c r="D225" s="31" t="s">
        <v>616</v>
      </c>
      <c r="E225" s="30">
        <v>217</v>
      </c>
      <c r="F225" s="32">
        <v>45786</v>
      </c>
      <c r="G225" s="33">
        <v>46022</v>
      </c>
      <c r="H225" s="2">
        <v>31466500</v>
      </c>
      <c r="I225" s="2">
        <v>4017000</v>
      </c>
      <c r="J225" s="7">
        <f>2945800+I225+I225+I225+I225+I225+I225</f>
        <v>27047800</v>
      </c>
      <c r="K225" s="3">
        <f t="shared" si="11"/>
        <v>4418700</v>
      </c>
      <c r="L225" s="1">
        <f t="shared" si="12"/>
        <v>0.8595744680851064</v>
      </c>
      <c r="M225" s="34">
        <v>0</v>
      </c>
      <c r="N225" s="2"/>
      <c r="O225" s="31"/>
    </row>
    <row r="226" spans="1:15" ht="64" x14ac:dyDescent="0.2">
      <c r="A226" s="36" t="s">
        <v>688</v>
      </c>
      <c r="B226" s="30">
        <v>1010218439</v>
      </c>
      <c r="C226" s="30">
        <v>4</v>
      </c>
      <c r="D226" s="31" t="s">
        <v>617</v>
      </c>
      <c r="E226" s="30">
        <v>218</v>
      </c>
      <c r="F226" s="32">
        <v>45783</v>
      </c>
      <c r="G226" s="33">
        <v>46022</v>
      </c>
      <c r="H226" s="2">
        <v>60770000</v>
      </c>
      <c r="I226" s="2">
        <v>7725000</v>
      </c>
      <c r="J226" s="7">
        <f>6695000+I226+I226+I226+I226+I226+I226</f>
        <v>53045000</v>
      </c>
      <c r="K226" s="3">
        <f t="shared" si="11"/>
        <v>7725000</v>
      </c>
      <c r="L226" s="1">
        <f t="shared" si="12"/>
        <v>0.8728813559322034</v>
      </c>
      <c r="M226" s="34">
        <v>0</v>
      </c>
      <c r="N226" s="2"/>
      <c r="O226" s="31"/>
    </row>
    <row r="227" spans="1:15" ht="32" x14ac:dyDescent="0.2">
      <c r="A227" s="36" t="s">
        <v>689</v>
      </c>
      <c r="B227" s="30">
        <v>1070821692</v>
      </c>
      <c r="C227" s="30">
        <v>5</v>
      </c>
      <c r="D227" s="31" t="s">
        <v>618</v>
      </c>
      <c r="E227" s="30">
        <v>219</v>
      </c>
      <c r="F227" s="32">
        <v>45783</v>
      </c>
      <c r="G227" s="33">
        <v>45971</v>
      </c>
      <c r="H227" s="2">
        <v>24771500</v>
      </c>
      <c r="I227" s="2">
        <v>4017000</v>
      </c>
      <c r="J227" s="7">
        <f>3347500+I227+I227+I227+I227+I227+I227</f>
        <v>27449500</v>
      </c>
      <c r="K227" s="3">
        <f t="shared" si="11"/>
        <v>-2678000</v>
      </c>
      <c r="L227" s="1">
        <f t="shared" si="12"/>
        <v>1.1081081081081081</v>
      </c>
      <c r="M227" s="34">
        <v>0</v>
      </c>
      <c r="N227" s="2"/>
      <c r="O227" s="31"/>
    </row>
    <row r="228" spans="1:15" ht="64" x14ac:dyDescent="0.2">
      <c r="A228" s="36" t="s">
        <v>690</v>
      </c>
      <c r="B228" s="30">
        <v>52966715</v>
      </c>
      <c r="C228" s="30">
        <v>2</v>
      </c>
      <c r="D228" s="31" t="s">
        <v>619</v>
      </c>
      <c r="E228" s="30">
        <v>220</v>
      </c>
      <c r="F228" s="32">
        <v>45784</v>
      </c>
      <c r="G228" s="33">
        <v>45967</v>
      </c>
      <c r="H228" s="2">
        <v>27810000</v>
      </c>
      <c r="I228" s="2">
        <v>4635000</v>
      </c>
      <c r="J228" s="7">
        <f>3708000+I228+I228+I228+I228+I228+I228</f>
        <v>31518000</v>
      </c>
      <c r="K228" s="3">
        <f>H228-J228</f>
        <v>-3708000</v>
      </c>
      <c r="L228" s="1">
        <f t="shared" si="12"/>
        <v>1.1333333333333333</v>
      </c>
      <c r="M228" s="34">
        <v>0</v>
      </c>
      <c r="N228" s="2"/>
      <c r="O228" s="31"/>
    </row>
    <row r="229" spans="1:15" ht="64" x14ac:dyDescent="0.2">
      <c r="A229" s="36" t="s">
        <v>691</v>
      </c>
      <c r="B229" s="30">
        <v>1073384011</v>
      </c>
      <c r="C229" s="30">
        <v>5</v>
      </c>
      <c r="D229" s="61" t="s">
        <v>620</v>
      </c>
      <c r="E229" s="30">
        <v>221</v>
      </c>
      <c r="F229" s="32">
        <v>45789</v>
      </c>
      <c r="G229" s="33">
        <v>46022</v>
      </c>
      <c r="H229" s="2">
        <v>14735867</v>
      </c>
      <c r="I229" s="2">
        <v>1905500</v>
      </c>
      <c r="J229" s="7">
        <f>1206816+I229</f>
        <v>3112316</v>
      </c>
      <c r="K229" s="3">
        <f t="shared" si="11"/>
        <v>11623551</v>
      </c>
      <c r="L229" s="1">
        <f t="shared" si="12"/>
        <v>0.21120684653302046</v>
      </c>
      <c r="M229" s="34">
        <v>0</v>
      </c>
      <c r="N229" s="2"/>
      <c r="O229" s="31"/>
    </row>
    <row r="230" spans="1:15" ht="96" x14ac:dyDescent="0.2">
      <c r="A230" s="36" t="s">
        <v>692</v>
      </c>
      <c r="B230" s="30">
        <v>37555335</v>
      </c>
      <c r="C230" s="30">
        <v>9</v>
      </c>
      <c r="D230" s="30" t="s">
        <v>621</v>
      </c>
      <c r="E230" s="30">
        <v>222</v>
      </c>
      <c r="F230" s="32">
        <v>45784</v>
      </c>
      <c r="G230" s="33">
        <v>46022</v>
      </c>
      <c r="H230" s="2">
        <v>68289000</v>
      </c>
      <c r="I230" s="2">
        <v>8755000</v>
      </c>
      <c r="J230" s="7">
        <f>7004000+I230+I230+I230+I230+I230+I230</f>
        <v>59534000</v>
      </c>
      <c r="K230" s="3">
        <f t="shared" si="11"/>
        <v>8755000</v>
      </c>
      <c r="L230" s="1">
        <f t="shared" si="12"/>
        <v>0.87179487179487181</v>
      </c>
      <c r="M230" s="34">
        <v>0</v>
      </c>
      <c r="N230" s="2"/>
      <c r="O230" s="31"/>
    </row>
    <row r="231" spans="1:15" ht="64" x14ac:dyDescent="0.2">
      <c r="A231" s="36" t="s">
        <v>693</v>
      </c>
      <c r="B231" s="30">
        <v>7332745</v>
      </c>
      <c r="C231" s="30">
        <v>9</v>
      </c>
      <c r="D231" s="30" t="s">
        <v>622</v>
      </c>
      <c r="E231" s="30">
        <v>223</v>
      </c>
      <c r="F231" s="32">
        <v>45784</v>
      </c>
      <c r="G231" s="33">
        <v>46022</v>
      </c>
      <c r="H231" s="2">
        <v>48204000</v>
      </c>
      <c r="I231" s="2">
        <v>6180000</v>
      </c>
      <c r="J231" s="7">
        <f>4944000+I231+I231+I231+I231+I231+I231</f>
        <v>42024000</v>
      </c>
      <c r="K231" s="3">
        <f t="shared" si="11"/>
        <v>6180000</v>
      </c>
      <c r="L231" s="1">
        <f t="shared" si="12"/>
        <v>0.87179487179487181</v>
      </c>
      <c r="M231" s="34">
        <v>0</v>
      </c>
      <c r="N231" s="2"/>
      <c r="O231" s="31"/>
    </row>
    <row r="232" spans="1:15" ht="144" x14ac:dyDescent="0.2">
      <c r="A232" s="36" t="s">
        <v>694</v>
      </c>
      <c r="B232" s="30">
        <v>1102856359</v>
      </c>
      <c r="C232" s="30">
        <v>3</v>
      </c>
      <c r="D232" s="30" t="s">
        <v>623</v>
      </c>
      <c r="E232" s="30">
        <v>224</v>
      </c>
      <c r="F232" s="32">
        <v>45784</v>
      </c>
      <c r="G232" s="33">
        <v>46022</v>
      </c>
      <c r="H232" s="2">
        <v>52221000</v>
      </c>
      <c r="I232" s="2">
        <v>6695000</v>
      </c>
      <c r="J232" s="7">
        <f>5356000+I232+I232+I232+I232+I232+I232</f>
        <v>45526000</v>
      </c>
      <c r="K232" s="3">
        <f t="shared" si="11"/>
        <v>6695000</v>
      </c>
      <c r="L232" s="1">
        <f t="shared" si="12"/>
        <v>0.87179487179487181</v>
      </c>
      <c r="M232" s="34">
        <v>0</v>
      </c>
      <c r="N232" s="2"/>
      <c r="O232" s="31"/>
    </row>
    <row r="233" spans="1:15" ht="48" x14ac:dyDescent="0.2">
      <c r="A233" s="36" t="s">
        <v>695</v>
      </c>
      <c r="B233" s="30">
        <v>1026260361</v>
      </c>
      <c r="C233" s="30">
        <v>4</v>
      </c>
      <c r="D233" s="30" t="s">
        <v>624</v>
      </c>
      <c r="E233" s="30">
        <v>225</v>
      </c>
      <c r="F233" s="32">
        <v>45784</v>
      </c>
      <c r="G233" s="33">
        <v>45875</v>
      </c>
      <c r="H233" s="2">
        <v>15450000</v>
      </c>
      <c r="I233" s="2">
        <v>5150000</v>
      </c>
      <c r="J233" s="7">
        <f>4120000+I233+I233+I233+I233</f>
        <v>24720000</v>
      </c>
      <c r="K233" s="3">
        <f t="shared" si="11"/>
        <v>-9270000</v>
      </c>
      <c r="L233" s="1">
        <f t="shared" si="12"/>
        <v>1.6</v>
      </c>
      <c r="M233" s="34">
        <v>0</v>
      </c>
      <c r="N233" s="2"/>
      <c r="O233" s="31"/>
    </row>
    <row r="234" spans="1:15" ht="64" x14ac:dyDescent="0.2">
      <c r="A234" s="36" t="s">
        <v>696</v>
      </c>
      <c r="B234" s="30">
        <v>1032467452</v>
      </c>
      <c r="C234" s="30">
        <v>8</v>
      </c>
      <c r="D234" s="30" t="s">
        <v>625</v>
      </c>
      <c r="E234" s="30">
        <v>226</v>
      </c>
      <c r="F234" s="32">
        <v>45798</v>
      </c>
      <c r="G234" s="33">
        <v>46022</v>
      </c>
      <c r="H234" s="2">
        <v>41921000</v>
      </c>
      <c r="I234" s="2">
        <v>5665000</v>
      </c>
      <c r="J234" s="7">
        <f>2266000+I234+I234+I234+I234+I234+I234</f>
        <v>36256000</v>
      </c>
      <c r="K234" s="3">
        <f t="shared" si="11"/>
        <v>5665000</v>
      </c>
      <c r="L234" s="1">
        <f t="shared" si="12"/>
        <v>0.86486486486486491</v>
      </c>
      <c r="M234" s="34">
        <v>0</v>
      </c>
      <c r="N234" s="2"/>
      <c r="O234" s="31"/>
    </row>
    <row r="235" spans="1:15" ht="80" x14ac:dyDescent="0.2">
      <c r="A235" s="36" t="s">
        <v>697</v>
      </c>
      <c r="B235" s="30">
        <v>1012376050</v>
      </c>
      <c r="C235" s="30">
        <v>7</v>
      </c>
      <c r="D235" s="30" t="s">
        <v>626</v>
      </c>
      <c r="E235" s="30">
        <v>227</v>
      </c>
      <c r="F235" s="32">
        <v>45813</v>
      </c>
      <c r="G235" s="33">
        <v>46022</v>
      </c>
      <c r="H235" s="2">
        <v>25585200</v>
      </c>
      <c r="I235" s="2">
        <v>3708000</v>
      </c>
      <c r="J235" s="7">
        <f>3213600+I235+I235+I235+I235</f>
        <v>18045600</v>
      </c>
      <c r="K235" s="3">
        <f t="shared" si="11"/>
        <v>7539600</v>
      </c>
      <c r="L235" s="1">
        <f t="shared" si="12"/>
        <v>0.70531400966183577</v>
      </c>
      <c r="M235" s="34">
        <v>0</v>
      </c>
      <c r="N235" s="2"/>
      <c r="O235" s="31"/>
    </row>
    <row r="236" spans="1:15" ht="96" x14ac:dyDescent="0.2">
      <c r="A236" s="36" t="s">
        <v>698</v>
      </c>
      <c r="B236" s="30">
        <v>1120740182</v>
      </c>
      <c r="C236" s="30">
        <v>3</v>
      </c>
      <c r="D236" s="30" t="s">
        <v>627</v>
      </c>
      <c r="E236" s="30">
        <v>228</v>
      </c>
      <c r="F236" s="32">
        <v>45785</v>
      </c>
      <c r="G236" s="33">
        <v>46022</v>
      </c>
      <c r="H236" s="2">
        <v>63997333</v>
      </c>
      <c r="I236" s="2">
        <v>8240000</v>
      </c>
      <c r="J236" s="7">
        <f>6317333+I236+I236+I236+I236+I236+I236</f>
        <v>55757333</v>
      </c>
      <c r="K236" s="3">
        <f t="shared" si="11"/>
        <v>8240000</v>
      </c>
      <c r="L236" s="1">
        <f t="shared" si="12"/>
        <v>0.87124463452250422</v>
      </c>
      <c r="M236" s="34">
        <v>0</v>
      </c>
      <c r="N236" s="2"/>
      <c r="O236" s="31"/>
    </row>
    <row r="237" spans="1:15" ht="80" x14ac:dyDescent="0.2">
      <c r="A237" s="36" t="s">
        <v>108</v>
      </c>
      <c r="B237" s="30">
        <v>34568513</v>
      </c>
      <c r="C237" s="30">
        <v>9</v>
      </c>
      <c r="D237" s="30" t="s">
        <v>628</v>
      </c>
      <c r="E237" s="30">
        <v>229</v>
      </c>
      <c r="F237" s="32">
        <v>45785</v>
      </c>
      <c r="G237" s="33">
        <v>46022</v>
      </c>
      <c r="H237" s="2">
        <v>72796967</v>
      </c>
      <c r="I237" s="2">
        <v>9373000</v>
      </c>
      <c r="J237" s="7">
        <f>7185967+I237+I237+I237+I237+I237+I237</f>
        <v>63423967</v>
      </c>
      <c r="K237" s="3">
        <f t="shared" si="11"/>
        <v>9373000</v>
      </c>
      <c r="L237" s="1">
        <f t="shared" si="12"/>
        <v>0.87124463578269684</v>
      </c>
      <c r="M237" s="34">
        <v>0</v>
      </c>
      <c r="N237" s="2"/>
      <c r="O237" s="31"/>
    </row>
    <row r="238" spans="1:15" ht="96" x14ac:dyDescent="0.2">
      <c r="A238" s="36" t="s">
        <v>699</v>
      </c>
      <c r="B238" s="30">
        <v>1019146315</v>
      </c>
      <c r="C238" s="30">
        <v>2</v>
      </c>
      <c r="D238" s="30" t="s">
        <v>629</v>
      </c>
      <c r="E238" s="30">
        <v>230</v>
      </c>
      <c r="F238" s="32">
        <v>45789</v>
      </c>
      <c r="G238" s="33">
        <v>46022</v>
      </c>
      <c r="H238" s="2">
        <v>28798800</v>
      </c>
      <c r="I238" s="2">
        <v>3708000</v>
      </c>
      <c r="J238" s="7">
        <f>2348400+I238+I238+I238+I238+I238+I238</f>
        <v>24596400</v>
      </c>
      <c r="K238" s="3">
        <f t="shared" si="11"/>
        <v>4202400</v>
      </c>
      <c r="L238" s="1">
        <f t="shared" si="12"/>
        <v>0.85407725321888406</v>
      </c>
      <c r="M238" s="34">
        <v>0</v>
      </c>
      <c r="N238" s="2"/>
      <c r="O238" s="31"/>
    </row>
    <row r="239" spans="1:15" ht="112" x14ac:dyDescent="0.2">
      <c r="A239" s="36" t="s">
        <v>700</v>
      </c>
      <c r="B239" s="30">
        <v>1110588794</v>
      </c>
      <c r="C239" s="30">
        <v>3</v>
      </c>
      <c r="D239" s="30" t="s">
        <v>630</v>
      </c>
      <c r="E239" s="30">
        <v>231</v>
      </c>
      <c r="F239" s="32">
        <v>45792</v>
      </c>
      <c r="G239" s="33">
        <v>46022</v>
      </c>
      <c r="H239" s="2">
        <v>54555667</v>
      </c>
      <c r="I239" s="2">
        <v>7210000</v>
      </c>
      <c r="J239" s="7">
        <f>3845333+I239+I239+I239+I239+I239+I239</f>
        <v>47105333</v>
      </c>
      <c r="K239" s="3">
        <f t="shared" si="11"/>
        <v>7450334</v>
      </c>
      <c r="L239" s="1">
        <f t="shared" si="12"/>
        <v>0.86343611196248415</v>
      </c>
      <c r="M239" s="34">
        <v>0</v>
      </c>
      <c r="N239" s="2"/>
      <c r="O239" s="31"/>
    </row>
    <row r="240" spans="1:15" ht="80" x14ac:dyDescent="0.2">
      <c r="A240" s="36" t="s">
        <v>134</v>
      </c>
      <c r="B240" s="30">
        <v>1070948522</v>
      </c>
      <c r="C240" s="30">
        <v>8</v>
      </c>
      <c r="D240" s="30" t="s">
        <v>631</v>
      </c>
      <c r="E240" s="30">
        <v>232</v>
      </c>
      <c r="F240" s="32">
        <v>45786</v>
      </c>
      <c r="G240" s="33">
        <v>46014</v>
      </c>
      <c r="H240" s="2">
        <v>50212500</v>
      </c>
      <c r="I240" s="2">
        <v>6695000</v>
      </c>
      <c r="J240" s="7">
        <f>4909667+I240+I240+I240+I240+I240+I240</f>
        <v>45079667</v>
      </c>
      <c r="K240" s="3">
        <f t="shared" si="11"/>
        <v>5132833</v>
      </c>
      <c r="L240" s="1">
        <f t="shared" si="12"/>
        <v>0.89777778441623102</v>
      </c>
      <c r="M240" s="34">
        <v>0</v>
      </c>
      <c r="N240" s="2"/>
      <c r="O240" s="31"/>
    </row>
    <row r="241" spans="1:15" ht="112" x14ac:dyDescent="0.2">
      <c r="A241" s="36" t="s">
        <v>701</v>
      </c>
      <c r="B241" s="30">
        <v>12646538</v>
      </c>
      <c r="C241" s="30">
        <v>7</v>
      </c>
      <c r="D241" s="30" t="s">
        <v>632</v>
      </c>
      <c r="E241" s="30">
        <v>233</v>
      </c>
      <c r="F241" s="32">
        <v>45789</v>
      </c>
      <c r="G241" s="33">
        <v>46022</v>
      </c>
      <c r="H241" s="2">
        <v>71547233</v>
      </c>
      <c r="I241" s="2">
        <v>9373000</v>
      </c>
      <c r="J241" s="7">
        <f>5936233+I241+I241</f>
        <v>24682233</v>
      </c>
      <c r="K241" s="3">
        <f t="shared" si="11"/>
        <v>46865000</v>
      </c>
      <c r="L241" s="1">
        <f t="shared" si="12"/>
        <v>0.34497816288716576</v>
      </c>
      <c r="M241" s="34">
        <v>0</v>
      </c>
      <c r="N241" s="2"/>
      <c r="O241" s="31"/>
    </row>
    <row r="242" spans="1:15" ht="96" x14ac:dyDescent="0.2">
      <c r="A242" s="36" t="s">
        <v>702</v>
      </c>
      <c r="B242" s="30">
        <v>1015411723</v>
      </c>
      <c r="C242" s="30">
        <v>6</v>
      </c>
      <c r="D242" s="30" t="s">
        <v>633</v>
      </c>
      <c r="E242" s="30">
        <v>234</v>
      </c>
      <c r="F242" s="32">
        <v>45796</v>
      </c>
      <c r="G242" s="33">
        <v>46022</v>
      </c>
      <c r="H242" s="2">
        <v>62349333</v>
      </c>
      <c r="I242" s="2">
        <v>8240000</v>
      </c>
      <c r="J242" s="7">
        <f>3296000+I242+I242+I242+I242+I242+I242</f>
        <v>52736000</v>
      </c>
      <c r="K242" s="3">
        <f>H242-J242</f>
        <v>9613333</v>
      </c>
      <c r="L242" s="1">
        <f t="shared" si="12"/>
        <v>0.84581498249548237</v>
      </c>
      <c r="M242" s="34">
        <v>0</v>
      </c>
      <c r="N242" s="2"/>
      <c r="O242" s="31"/>
    </row>
    <row r="243" spans="1:15" ht="48" x14ac:dyDescent="0.2">
      <c r="A243" s="36" t="s">
        <v>703</v>
      </c>
      <c r="B243" s="30">
        <v>1018415947</v>
      </c>
      <c r="C243" s="30">
        <v>8</v>
      </c>
      <c r="D243" s="30" t="s">
        <v>634</v>
      </c>
      <c r="E243" s="30">
        <v>235</v>
      </c>
      <c r="F243" s="32">
        <v>45797</v>
      </c>
      <c r="G243" s="33">
        <v>46022</v>
      </c>
      <c r="H243" s="2">
        <v>50882000</v>
      </c>
      <c r="I243" s="2">
        <v>6695000</v>
      </c>
      <c r="J243" s="7">
        <f>2454833+I243+I243+I243+I243+I243+I243</f>
        <v>42624833</v>
      </c>
      <c r="K243" s="3">
        <f t="shared" si="11"/>
        <v>8257167</v>
      </c>
      <c r="L243" s="1">
        <f t="shared" si="12"/>
        <v>0.83771929169450887</v>
      </c>
      <c r="M243" s="34">
        <v>0</v>
      </c>
      <c r="N243" s="2"/>
      <c r="O243" s="31"/>
    </row>
    <row r="244" spans="1:15" ht="48" x14ac:dyDescent="0.2">
      <c r="A244" s="36" t="s">
        <v>704</v>
      </c>
      <c r="B244" s="30">
        <v>1032377717</v>
      </c>
      <c r="C244" s="30">
        <v>8</v>
      </c>
      <c r="D244" s="30" t="s">
        <v>635</v>
      </c>
      <c r="E244" s="30">
        <v>236</v>
      </c>
      <c r="F244" s="32">
        <v>45790</v>
      </c>
      <c r="G244" s="33">
        <v>46022</v>
      </c>
      <c r="H244" s="2">
        <v>35226000</v>
      </c>
      <c r="I244" s="2">
        <v>4635000</v>
      </c>
      <c r="J244" s="7">
        <f>2781000+I244+I244+I244+I244+I244+I244</f>
        <v>30591000</v>
      </c>
      <c r="K244" s="3">
        <f t="shared" si="11"/>
        <v>4635000</v>
      </c>
      <c r="L244" s="1">
        <f t="shared" si="12"/>
        <v>0.86842105263157898</v>
      </c>
      <c r="M244" s="34">
        <v>0</v>
      </c>
      <c r="N244" s="2"/>
      <c r="O244" s="31"/>
    </row>
    <row r="245" spans="1:15" ht="64" x14ac:dyDescent="0.2">
      <c r="A245" s="36" t="s">
        <v>705</v>
      </c>
      <c r="B245" s="30">
        <v>1121872051</v>
      </c>
      <c r="C245" s="30">
        <v>7</v>
      </c>
      <c r="D245" s="30" t="s">
        <v>636</v>
      </c>
      <c r="E245" s="30">
        <v>237</v>
      </c>
      <c r="F245" s="32">
        <v>45790</v>
      </c>
      <c r="G245" s="33">
        <v>46022</v>
      </c>
      <c r="H245" s="2">
        <v>62624000</v>
      </c>
      <c r="I245" s="2">
        <v>8240000</v>
      </c>
      <c r="J245" s="7">
        <v>0</v>
      </c>
      <c r="K245" s="3">
        <f t="shared" si="11"/>
        <v>62624000</v>
      </c>
      <c r="L245" s="1">
        <f t="shared" si="12"/>
        <v>0</v>
      </c>
      <c r="M245" s="34">
        <v>0</v>
      </c>
      <c r="N245" s="2"/>
      <c r="O245" s="31"/>
    </row>
    <row r="246" spans="1:15" ht="64" x14ac:dyDescent="0.2">
      <c r="A246" s="36" t="s">
        <v>706</v>
      </c>
      <c r="B246" s="30">
        <v>80728738</v>
      </c>
      <c r="C246" s="30">
        <v>3</v>
      </c>
      <c r="D246" s="30" t="s">
        <v>637</v>
      </c>
      <c r="E246" s="30">
        <v>238</v>
      </c>
      <c r="F246" s="32">
        <v>45791</v>
      </c>
      <c r="G246" s="33">
        <v>46022</v>
      </c>
      <c r="H246" s="2">
        <v>25080000</v>
      </c>
      <c r="I246" s="2">
        <v>3300000</v>
      </c>
      <c r="J246" s="7">
        <f>1870000+I246+I246+I246+I246+I246+I246</f>
        <v>21670000</v>
      </c>
      <c r="K246" s="3">
        <f t="shared" si="11"/>
        <v>3410000</v>
      </c>
      <c r="L246" s="1">
        <f t="shared" si="12"/>
        <v>0.86403508771929827</v>
      </c>
      <c r="M246" s="34">
        <v>0</v>
      </c>
      <c r="N246" s="2"/>
      <c r="O246" s="31"/>
    </row>
    <row r="247" spans="1:15" ht="32" x14ac:dyDescent="0.2">
      <c r="A247" s="36" t="s">
        <v>707</v>
      </c>
      <c r="B247" s="30">
        <v>1001271551</v>
      </c>
      <c r="C247" s="30">
        <v>3</v>
      </c>
      <c r="D247" s="30" t="s">
        <v>638</v>
      </c>
      <c r="E247" s="30">
        <v>239</v>
      </c>
      <c r="F247" s="32">
        <v>45790</v>
      </c>
      <c r="G247" s="33">
        <v>46022</v>
      </c>
      <c r="H247" s="2">
        <v>25080000</v>
      </c>
      <c r="I247" s="2">
        <v>3300000</v>
      </c>
      <c r="J247" s="7">
        <f>1980000+I247+I247+I247+I247+I247+I247</f>
        <v>21780000</v>
      </c>
      <c r="K247" s="3">
        <f t="shared" si="11"/>
        <v>3300000</v>
      </c>
      <c r="L247" s="1">
        <f t="shared" si="12"/>
        <v>0.86842105263157898</v>
      </c>
      <c r="M247" s="34">
        <v>0</v>
      </c>
      <c r="N247" s="2"/>
      <c r="O247" s="31"/>
    </row>
    <row r="248" spans="1:15" ht="48" x14ac:dyDescent="0.2">
      <c r="A248" s="36" t="s">
        <v>708</v>
      </c>
      <c r="B248" s="30">
        <v>1022365163</v>
      </c>
      <c r="C248" s="30">
        <v>1</v>
      </c>
      <c r="D248" s="30" t="s">
        <v>639</v>
      </c>
      <c r="E248" s="30">
        <v>240</v>
      </c>
      <c r="F248" s="32">
        <v>45790</v>
      </c>
      <c r="G248" s="33">
        <v>46022</v>
      </c>
      <c r="H248" s="2">
        <v>46968000</v>
      </c>
      <c r="I248" s="2">
        <v>6180000</v>
      </c>
      <c r="J248" s="7">
        <f>3708000+I248+I248+I248+I248+I248+I248</f>
        <v>40788000</v>
      </c>
      <c r="K248" s="3">
        <f t="shared" si="11"/>
        <v>6180000</v>
      </c>
      <c r="L248" s="1">
        <f t="shared" si="12"/>
        <v>0.86842105263157898</v>
      </c>
      <c r="M248" s="34">
        <v>0</v>
      </c>
      <c r="N248" s="2"/>
      <c r="O248" s="31"/>
    </row>
    <row r="249" spans="1:15" ht="48" x14ac:dyDescent="0.2">
      <c r="A249" s="36" t="s">
        <v>709</v>
      </c>
      <c r="B249" s="30">
        <v>1061726646</v>
      </c>
      <c r="C249" s="30">
        <v>7</v>
      </c>
      <c r="D249" s="30" t="s">
        <v>640</v>
      </c>
      <c r="E249" s="30">
        <v>241</v>
      </c>
      <c r="F249" s="32">
        <v>45792</v>
      </c>
      <c r="G249" s="33">
        <v>46022</v>
      </c>
      <c r="H249" s="2">
        <v>28057200</v>
      </c>
      <c r="I249" s="2">
        <v>3708000</v>
      </c>
      <c r="J249" s="7">
        <f>1854000+I249+I249+I249+I249+I249+I249</f>
        <v>24102000</v>
      </c>
      <c r="K249" s="3">
        <f t="shared" si="11"/>
        <v>3955200</v>
      </c>
      <c r="L249" s="1">
        <f t="shared" si="12"/>
        <v>0.8590308370044053</v>
      </c>
      <c r="M249" s="34">
        <v>0</v>
      </c>
      <c r="N249" s="2"/>
      <c r="O249" s="31"/>
    </row>
    <row r="250" spans="1:15" ht="48" x14ac:dyDescent="0.2">
      <c r="A250" s="36" t="s">
        <v>710</v>
      </c>
      <c r="B250" s="30">
        <v>901376413</v>
      </c>
      <c r="C250" s="30">
        <v>0</v>
      </c>
      <c r="D250" s="30" t="s">
        <v>641</v>
      </c>
      <c r="E250" s="30">
        <v>242</v>
      </c>
      <c r="F250" s="32">
        <v>45799</v>
      </c>
      <c r="G250" s="33">
        <v>46022</v>
      </c>
      <c r="H250" s="2">
        <v>5150000</v>
      </c>
      <c r="I250" s="2"/>
      <c r="J250" s="7">
        <f>1658367+1656399</f>
        <v>3314766</v>
      </c>
      <c r="K250" s="3">
        <f t="shared" si="11"/>
        <v>1835234</v>
      </c>
      <c r="L250" s="1">
        <f t="shared" si="12"/>
        <v>0.64364388349514567</v>
      </c>
      <c r="M250" s="34">
        <v>0</v>
      </c>
      <c r="N250" s="2"/>
      <c r="O250" s="31"/>
    </row>
    <row r="251" spans="1:15" ht="64" x14ac:dyDescent="0.2">
      <c r="A251" s="36" t="s">
        <v>711</v>
      </c>
      <c r="B251" s="30">
        <v>52560160</v>
      </c>
      <c r="C251" s="30">
        <v>1</v>
      </c>
      <c r="D251" s="30" t="s">
        <v>642</v>
      </c>
      <c r="E251" s="30">
        <v>243</v>
      </c>
      <c r="F251" s="30"/>
      <c r="G251" s="33"/>
      <c r="H251" s="2">
        <v>50212500</v>
      </c>
      <c r="I251" s="2">
        <v>6695000</v>
      </c>
      <c r="J251" s="7">
        <v>0</v>
      </c>
      <c r="K251" s="3">
        <f t="shared" si="11"/>
        <v>50212500</v>
      </c>
      <c r="L251" s="1">
        <f t="shared" si="12"/>
        <v>0</v>
      </c>
      <c r="M251" s="34">
        <v>0</v>
      </c>
      <c r="N251" s="2"/>
      <c r="O251" s="31"/>
    </row>
    <row r="252" spans="1:15" ht="48" x14ac:dyDescent="0.2">
      <c r="A252" s="36" t="s">
        <v>131</v>
      </c>
      <c r="B252" s="30">
        <v>1128431117</v>
      </c>
      <c r="C252" s="30">
        <v>8</v>
      </c>
      <c r="D252" s="30" t="s">
        <v>643</v>
      </c>
      <c r="E252" s="30">
        <v>244</v>
      </c>
      <c r="F252" s="32">
        <v>45793</v>
      </c>
      <c r="G252" s="33">
        <v>46022</v>
      </c>
      <c r="H252" s="2">
        <v>28057200</v>
      </c>
      <c r="I252" s="2">
        <v>3708000</v>
      </c>
      <c r="J252" s="7">
        <f>1854000+I252+I252+I252+I252+I252+I252</f>
        <v>24102000</v>
      </c>
      <c r="K252" s="3">
        <f t="shared" si="11"/>
        <v>3955200</v>
      </c>
      <c r="L252" s="1">
        <f t="shared" si="12"/>
        <v>0.8590308370044053</v>
      </c>
      <c r="M252" s="34">
        <v>0</v>
      </c>
      <c r="N252" s="2"/>
      <c r="O252" s="31"/>
    </row>
    <row r="253" spans="1:15" ht="64" x14ac:dyDescent="0.2">
      <c r="A253" s="36" t="s">
        <v>123</v>
      </c>
      <c r="B253" s="30">
        <v>52708089</v>
      </c>
      <c r="C253" s="30">
        <v>4</v>
      </c>
      <c r="D253" s="30" t="s">
        <v>644</v>
      </c>
      <c r="E253" s="30">
        <v>245</v>
      </c>
      <c r="F253" s="32">
        <v>45791</v>
      </c>
      <c r="G253" s="33">
        <v>46022</v>
      </c>
      <c r="H253" s="2">
        <v>66246167</v>
      </c>
      <c r="I253" s="2">
        <v>8755000</v>
      </c>
      <c r="J253" s="7">
        <f>4961167+I253+I253+I253+I253+I253+I253</f>
        <v>57491167</v>
      </c>
      <c r="K253" s="3">
        <f t="shared" si="11"/>
        <v>8755000</v>
      </c>
      <c r="L253" s="1">
        <f t="shared" si="12"/>
        <v>0.86784141035661733</v>
      </c>
      <c r="M253" s="34">
        <v>0</v>
      </c>
      <c r="N253" s="2"/>
      <c r="O253" s="31"/>
    </row>
    <row r="254" spans="1:15" ht="64" x14ac:dyDescent="0.2">
      <c r="A254" s="36" t="s">
        <v>712</v>
      </c>
      <c r="B254" s="30">
        <v>1024594179</v>
      </c>
      <c r="C254" s="30">
        <v>6</v>
      </c>
      <c r="D254" s="30" t="s">
        <v>645</v>
      </c>
      <c r="E254" s="30">
        <v>246</v>
      </c>
      <c r="F254" s="32">
        <v>45791</v>
      </c>
      <c r="G254" s="33">
        <v>46014</v>
      </c>
      <c r="H254" s="2">
        <v>27192000</v>
      </c>
      <c r="I254" s="2">
        <v>3708000</v>
      </c>
      <c r="J254" s="7">
        <f>2101200+I254+I254+I254+I254+I254+I254</f>
        <v>24349200</v>
      </c>
      <c r="K254" s="3">
        <f>H254-J254</f>
        <v>2842800</v>
      </c>
      <c r="L254" s="1">
        <f t="shared" si="12"/>
        <v>0.8954545454545455</v>
      </c>
      <c r="M254" s="34">
        <v>0</v>
      </c>
      <c r="N254" s="2"/>
      <c r="O254" s="31"/>
    </row>
    <row r="255" spans="1:15" ht="48" x14ac:dyDescent="0.2">
      <c r="A255" s="45" t="s">
        <v>287</v>
      </c>
      <c r="B255" s="30">
        <v>32144118</v>
      </c>
      <c r="C255" s="30">
        <v>5</v>
      </c>
      <c r="D255" s="30" t="s">
        <v>646</v>
      </c>
      <c r="E255" s="30">
        <v>247</v>
      </c>
      <c r="F255" s="32">
        <v>45798</v>
      </c>
      <c r="G255" s="33">
        <v>46022</v>
      </c>
      <c r="H255" s="2">
        <v>65662500</v>
      </c>
      <c r="I255" s="2">
        <v>8755000</v>
      </c>
      <c r="J255" s="7">
        <f>2918333+I255+I255+I255+I255+I255+I255</f>
        <v>55448333</v>
      </c>
      <c r="K255" s="3">
        <f t="shared" ref="K255:K282" si="13">H255-J255</f>
        <v>10214167</v>
      </c>
      <c r="L255" s="1">
        <f t="shared" si="12"/>
        <v>0.84444443936798019</v>
      </c>
      <c r="M255" s="34">
        <v>0</v>
      </c>
      <c r="N255" s="2"/>
      <c r="O255" s="31"/>
    </row>
    <row r="256" spans="1:15" ht="96" x14ac:dyDescent="0.2">
      <c r="A256" s="30" t="s">
        <v>713</v>
      </c>
      <c r="B256" s="30">
        <v>80037198</v>
      </c>
      <c r="C256" s="30">
        <v>0</v>
      </c>
      <c r="D256" s="30" t="s">
        <v>647</v>
      </c>
      <c r="E256" s="30">
        <v>248</v>
      </c>
      <c r="F256" s="32">
        <v>45803</v>
      </c>
      <c r="G256" s="33">
        <v>46022</v>
      </c>
      <c r="H256" s="2">
        <v>47980833</v>
      </c>
      <c r="I256" s="2">
        <v>6695000</v>
      </c>
      <c r="J256" s="7">
        <f>1115833+I256+I256+I256+I256</f>
        <v>27895833</v>
      </c>
      <c r="K256" s="3">
        <f t="shared" si="13"/>
        <v>20085000</v>
      </c>
      <c r="L256" s="1">
        <f t="shared" si="12"/>
        <v>0.58139534592907127</v>
      </c>
      <c r="M256" s="34">
        <v>0</v>
      </c>
      <c r="N256" s="2"/>
      <c r="O256" s="31"/>
    </row>
    <row r="257" spans="1:15" ht="64" x14ac:dyDescent="0.2">
      <c r="A257" s="30" t="s">
        <v>294</v>
      </c>
      <c r="B257" s="30">
        <v>1032462696</v>
      </c>
      <c r="C257" s="30">
        <v>5</v>
      </c>
      <c r="D257" s="30" t="s">
        <v>648</v>
      </c>
      <c r="E257" s="30">
        <v>249</v>
      </c>
      <c r="F257" s="32">
        <v>45793</v>
      </c>
      <c r="G257" s="33">
        <v>46022</v>
      </c>
      <c r="H257" s="2">
        <v>54075000</v>
      </c>
      <c r="I257" s="2">
        <v>7210000</v>
      </c>
      <c r="J257" s="7">
        <f>3605000+I257+I257+I257+I257+I257+I257</f>
        <v>46865000</v>
      </c>
      <c r="K257" s="3">
        <f t="shared" si="13"/>
        <v>7210000</v>
      </c>
      <c r="L257" s="1">
        <f t="shared" si="12"/>
        <v>0.8666666666666667</v>
      </c>
      <c r="M257" s="34">
        <v>0</v>
      </c>
      <c r="N257" s="2"/>
      <c r="O257" s="31"/>
    </row>
    <row r="258" spans="1:15" ht="32" x14ac:dyDescent="0.2">
      <c r="A258" s="30" t="s">
        <v>714</v>
      </c>
      <c r="B258" s="30">
        <v>800028326</v>
      </c>
      <c r="C258" s="30">
        <v>1</v>
      </c>
      <c r="D258" s="30" t="s">
        <v>649</v>
      </c>
      <c r="E258" s="30">
        <v>250</v>
      </c>
      <c r="F258" s="30"/>
      <c r="G258" s="33">
        <v>46022</v>
      </c>
      <c r="H258" s="2">
        <v>73505900</v>
      </c>
      <c r="I258" s="2"/>
      <c r="J258" s="7">
        <v>36520000</v>
      </c>
      <c r="K258" s="3">
        <f t="shared" si="13"/>
        <v>36985900</v>
      </c>
      <c r="L258" s="1">
        <f t="shared" ref="L258:L283" si="14">1-(K258/H258)</f>
        <v>0.49683086663791609</v>
      </c>
      <c r="M258" s="34">
        <v>0</v>
      </c>
      <c r="N258" s="2"/>
      <c r="O258" s="31"/>
    </row>
    <row r="259" spans="1:15" ht="80" x14ac:dyDescent="0.2">
      <c r="A259" s="30" t="s">
        <v>120</v>
      </c>
      <c r="B259" s="30">
        <v>72260721</v>
      </c>
      <c r="C259" s="30">
        <v>9</v>
      </c>
      <c r="D259" s="30" t="s">
        <v>650</v>
      </c>
      <c r="E259" s="30">
        <v>251</v>
      </c>
      <c r="F259" s="32">
        <v>45786</v>
      </c>
      <c r="G259" s="33">
        <v>46022</v>
      </c>
      <c r="H259" s="2">
        <v>64787000</v>
      </c>
      <c r="I259" s="2">
        <v>8755000</v>
      </c>
      <c r="J259" s="7">
        <f>3502000+I259+I259+I259+I259+I259+I259</f>
        <v>56032000</v>
      </c>
      <c r="K259" s="3">
        <f t="shared" si="13"/>
        <v>8755000</v>
      </c>
      <c r="L259" s="1">
        <f t="shared" si="14"/>
        <v>0.86486486486486491</v>
      </c>
      <c r="M259" s="34">
        <v>0</v>
      </c>
      <c r="N259" s="2"/>
      <c r="O259" s="31"/>
    </row>
    <row r="260" spans="1:15" ht="64" x14ac:dyDescent="0.2">
      <c r="A260" s="30" t="s">
        <v>715</v>
      </c>
      <c r="B260" s="30">
        <v>52497228</v>
      </c>
      <c r="C260" s="30">
        <v>4</v>
      </c>
      <c r="D260" s="30" t="s">
        <v>651</v>
      </c>
      <c r="E260" s="30">
        <v>252</v>
      </c>
      <c r="F260" s="32">
        <v>45797</v>
      </c>
      <c r="G260" s="33">
        <v>46022</v>
      </c>
      <c r="H260" s="2">
        <v>41732167</v>
      </c>
      <c r="I260" s="2">
        <v>5665000</v>
      </c>
      <c r="J260" s="7">
        <f>2077167+I260+I260+I260+I260+I260+I260</f>
        <v>36067167</v>
      </c>
      <c r="K260" s="3">
        <f t="shared" si="13"/>
        <v>5665000</v>
      </c>
      <c r="L260" s="1">
        <f t="shared" si="14"/>
        <v>0.86425339474942675</v>
      </c>
      <c r="M260" s="34">
        <v>0</v>
      </c>
      <c r="N260" s="2"/>
      <c r="O260" s="31"/>
    </row>
    <row r="261" spans="1:15" ht="48" x14ac:dyDescent="0.2">
      <c r="A261" s="30" t="s">
        <v>122</v>
      </c>
      <c r="B261" s="30">
        <v>1098821595</v>
      </c>
      <c r="C261" s="30">
        <v>0</v>
      </c>
      <c r="D261" s="30" t="s">
        <v>652</v>
      </c>
      <c r="E261" s="30">
        <v>253</v>
      </c>
      <c r="F261" s="32">
        <v>45796</v>
      </c>
      <c r="G261" s="33">
        <v>46022</v>
      </c>
      <c r="H261" s="2">
        <v>38110000</v>
      </c>
      <c r="I261" s="2">
        <v>5150000</v>
      </c>
      <c r="J261" s="7">
        <f>2060000+I261+I261+I261+I261+I261+I261</f>
        <v>32960000</v>
      </c>
      <c r="K261" s="3">
        <f t="shared" si="13"/>
        <v>5150000</v>
      </c>
      <c r="L261" s="1">
        <f t="shared" si="14"/>
        <v>0.86486486486486491</v>
      </c>
      <c r="M261" s="34">
        <v>0</v>
      </c>
      <c r="N261" s="2"/>
      <c r="O261" s="31"/>
    </row>
    <row r="262" spans="1:15" ht="64" x14ac:dyDescent="0.2">
      <c r="A262" s="30" t="s">
        <v>716</v>
      </c>
      <c r="B262" s="30">
        <v>1010118528</v>
      </c>
      <c r="C262" s="30">
        <v>2</v>
      </c>
      <c r="D262" s="30" t="s">
        <v>653</v>
      </c>
      <c r="E262" s="30">
        <v>254</v>
      </c>
      <c r="F262" s="32">
        <v>45800</v>
      </c>
      <c r="G262" s="33">
        <v>46022</v>
      </c>
      <c r="H262" s="2">
        <v>41165667</v>
      </c>
      <c r="I262" s="2">
        <v>5665000</v>
      </c>
      <c r="J262" s="7">
        <f>1510667+I262+I262+I262+I262+I262+I262</f>
        <v>35500667</v>
      </c>
      <c r="K262" s="3">
        <f t="shared" si="13"/>
        <v>5665000</v>
      </c>
      <c r="L262" s="1">
        <f t="shared" si="14"/>
        <v>0.86238532221523334</v>
      </c>
      <c r="M262" s="34">
        <v>0</v>
      </c>
      <c r="N262" s="2"/>
      <c r="O262" s="31"/>
    </row>
    <row r="263" spans="1:15" ht="112" x14ac:dyDescent="0.2">
      <c r="A263" s="30" t="s">
        <v>717</v>
      </c>
      <c r="B263" s="30">
        <v>7572264</v>
      </c>
      <c r="C263" s="30">
        <v>7</v>
      </c>
      <c r="D263" s="30" t="s">
        <v>654</v>
      </c>
      <c r="E263" s="30">
        <v>255</v>
      </c>
      <c r="F263" s="32">
        <v>45799</v>
      </c>
      <c r="G263" s="33">
        <v>46022</v>
      </c>
      <c r="H263" s="2">
        <v>52633000</v>
      </c>
      <c r="I263" s="2">
        <v>7210000</v>
      </c>
      <c r="J263" s="7">
        <f>2163000+I263+I263+I263+I263+I263+I263</f>
        <v>45423000</v>
      </c>
      <c r="K263" s="3">
        <f t="shared" si="13"/>
        <v>7210000</v>
      </c>
      <c r="L263" s="1">
        <f t="shared" si="14"/>
        <v>0.86301369863013699</v>
      </c>
      <c r="M263" s="34">
        <v>0</v>
      </c>
      <c r="N263" s="2"/>
      <c r="O263" s="31"/>
    </row>
    <row r="264" spans="1:15" ht="96" x14ac:dyDescent="0.2">
      <c r="A264" s="30" t="s">
        <v>718</v>
      </c>
      <c r="B264" s="30">
        <v>51882490</v>
      </c>
      <c r="C264" s="30">
        <v>5</v>
      </c>
      <c r="D264" s="30" t="s">
        <v>655</v>
      </c>
      <c r="E264" s="30">
        <v>256</v>
      </c>
      <c r="F264" s="32">
        <v>45800</v>
      </c>
      <c r="G264" s="33">
        <v>46022</v>
      </c>
      <c r="H264" s="2">
        <v>68422900</v>
      </c>
      <c r="I264" s="2">
        <v>9373000</v>
      </c>
      <c r="J264" s="7">
        <f>2499467+9373000+I264+I264+I264+I264+I264</f>
        <v>58737467</v>
      </c>
      <c r="K264" s="3">
        <f t="shared" si="13"/>
        <v>9685433</v>
      </c>
      <c r="L264" s="1">
        <f t="shared" si="14"/>
        <v>0.85844749345613824</v>
      </c>
      <c r="M264" s="34">
        <v>0</v>
      </c>
      <c r="N264" s="2"/>
      <c r="O264" s="31"/>
    </row>
    <row r="265" spans="1:15" ht="16" x14ac:dyDescent="0.2">
      <c r="A265" s="30" t="s">
        <v>719</v>
      </c>
      <c r="B265" s="30"/>
      <c r="C265" s="30"/>
      <c r="D265" s="30"/>
      <c r="E265" s="30">
        <v>257</v>
      </c>
      <c r="F265" s="30"/>
      <c r="G265" s="33"/>
      <c r="H265" s="2"/>
      <c r="I265" s="2"/>
      <c r="J265" s="7">
        <v>0</v>
      </c>
      <c r="K265" s="3">
        <f t="shared" si="13"/>
        <v>0</v>
      </c>
      <c r="L265" s="1" t="e">
        <f t="shared" si="14"/>
        <v>#DIV/0!</v>
      </c>
      <c r="M265" s="34">
        <v>0</v>
      </c>
      <c r="N265" s="2"/>
      <c r="O265" s="31"/>
    </row>
    <row r="266" spans="1:15" ht="96" x14ac:dyDescent="0.2">
      <c r="A266" s="30" t="s">
        <v>720</v>
      </c>
      <c r="B266" s="30">
        <v>1121335640</v>
      </c>
      <c r="C266" s="30">
        <v>2</v>
      </c>
      <c r="D266" s="30" t="s">
        <v>656</v>
      </c>
      <c r="E266" s="30">
        <v>258</v>
      </c>
      <c r="F266" s="32">
        <v>45800</v>
      </c>
      <c r="G266" s="33">
        <v>46022</v>
      </c>
      <c r="H266" s="2">
        <v>33990000</v>
      </c>
      <c r="I266" s="2">
        <v>4635000</v>
      </c>
      <c r="J266" s="7">
        <f>1236000+4635000+I266+I266+I266+I266+I266</f>
        <v>29046000</v>
      </c>
      <c r="K266" s="3">
        <f>H266-J266</f>
        <v>4944000</v>
      </c>
      <c r="L266" s="1">
        <f t="shared" si="14"/>
        <v>0.8545454545454545</v>
      </c>
      <c r="M266" s="34">
        <v>0</v>
      </c>
      <c r="N266" s="2"/>
      <c r="O266" s="31"/>
    </row>
    <row r="267" spans="1:15" ht="128" x14ac:dyDescent="0.2">
      <c r="A267" s="30" t="s">
        <v>721</v>
      </c>
      <c r="B267" s="30">
        <v>1119840777</v>
      </c>
      <c r="C267" s="30">
        <v>0</v>
      </c>
      <c r="D267" s="30" t="s">
        <v>657</v>
      </c>
      <c r="E267" s="30">
        <v>259</v>
      </c>
      <c r="F267" s="32">
        <v>45800</v>
      </c>
      <c r="G267" s="33">
        <v>46022</v>
      </c>
      <c r="H267" s="2">
        <v>33681000</v>
      </c>
      <c r="I267" s="2">
        <v>4635000</v>
      </c>
      <c r="J267" s="7">
        <f>1236000+4635000+I267+I267+I267+I267+I267+I267</f>
        <v>33681000</v>
      </c>
      <c r="K267" s="3">
        <f t="shared" si="13"/>
        <v>0</v>
      </c>
      <c r="L267" s="1">
        <f t="shared" si="14"/>
        <v>1</v>
      </c>
      <c r="M267" s="34">
        <v>0</v>
      </c>
      <c r="N267" s="2"/>
      <c r="O267" s="31"/>
    </row>
    <row r="268" spans="1:15" ht="64" x14ac:dyDescent="0.2">
      <c r="A268" s="30" t="s">
        <v>722</v>
      </c>
      <c r="B268" s="30">
        <v>1066181626</v>
      </c>
      <c r="C268" s="30">
        <v>9</v>
      </c>
      <c r="D268" s="30" t="s">
        <v>658</v>
      </c>
      <c r="E268" s="30">
        <v>260</v>
      </c>
      <c r="F268" s="32">
        <v>45800</v>
      </c>
      <c r="G268" s="33">
        <v>45965</v>
      </c>
      <c r="H268" s="2">
        <v>44770666</v>
      </c>
      <c r="I268" s="2">
        <v>8240000</v>
      </c>
      <c r="J268" s="7">
        <f>2197333+8240000+I268+I268+I268+I268+I268</f>
        <v>51637333</v>
      </c>
      <c r="K268" s="3">
        <f t="shared" si="13"/>
        <v>-6866667</v>
      </c>
      <c r="L268" s="1">
        <f t="shared" si="14"/>
        <v>1.1533742428580356</v>
      </c>
      <c r="M268" s="34">
        <v>0</v>
      </c>
      <c r="N268" s="2"/>
      <c r="O268" s="31"/>
    </row>
    <row r="269" spans="1:15" ht="64" x14ac:dyDescent="0.2">
      <c r="A269" s="30" t="s">
        <v>723</v>
      </c>
      <c r="B269" s="30">
        <v>77013659</v>
      </c>
      <c r="C269" s="30">
        <v>1</v>
      </c>
      <c r="D269" s="30" t="s">
        <v>659</v>
      </c>
      <c r="E269" s="30">
        <v>261</v>
      </c>
      <c r="F269" s="32">
        <v>45800</v>
      </c>
      <c r="G269" s="33">
        <v>46022</v>
      </c>
      <c r="H269" s="2">
        <v>68110467</v>
      </c>
      <c r="I269" s="2">
        <v>9373000</v>
      </c>
      <c r="J269" s="7">
        <f>2499467+9373000+I269+I269+I269+I269+I269</f>
        <v>58737467</v>
      </c>
      <c r="K269" s="3">
        <f t="shared" si="13"/>
        <v>9373000</v>
      </c>
      <c r="L269" s="1">
        <f t="shared" si="14"/>
        <v>0.86238532177440508</v>
      </c>
      <c r="M269" s="34">
        <v>0</v>
      </c>
      <c r="N269" s="2"/>
      <c r="O269" s="31"/>
    </row>
    <row r="270" spans="1:15" ht="64" x14ac:dyDescent="0.2">
      <c r="A270" s="30" t="s">
        <v>724</v>
      </c>
      <c r="B270" s="30">
        <v>52996334</v>
      </c>
      <c r="C270" s="30">
        <v>8</v>
      </c>
      <c r="D270" s="30" t="s">
        <v>660</v>
      </c>
      <c r="E270" s="30">
        <v>262</v>
      </c>
      <c r="F270" s="32">
        <v>45800</v>
      </c>
      <c r="G270" s="33">
        <v>46022</v>
      </c>
      <c r="H270" s="2">
        <v>59877333</v>
      </c>
      <c r="I270" s="2">
        <v>8240000</v>
      </c>
      <c r="J270" s="7">
        <f>2197333+8240000+I270+I270+I270+I270+I270</f>
        <v>51637333</v>
      </c>
      <c r="K270" s="3">
        <f t="shared" si="13"/>
        <v>8240000</v>
      </c>
      <c r="L270" s="1">
        <f t="shared" si="14"/>
        <v>0.86238532033482518</v>
      </c>
      <c r="M270" s="34">
        <v>0</v>
      </c>
      <c r="N270" s="2"/>
      <c r="O270" s="31"/>
    </row>
    <row r="271" spans="1:15" ht="48" x14ac:dyDescent="0.2">
      <c r="A271" s="30" t="s">
        <v>725</v>
      </c>
      <c r="B271" s="30">
        <v>1110462090</v>
      </c>
      <c r="C271" s="30">
        <v>5</v>
      </c>
      <c r="D271" s="30" t="s">
        <v>661</v>
      </c>
      <c r="E271" s="30">
        <v>263</v>
      </c>
      <c r="F271" s="32">
        <v>45800</v>
      </c>
      <c r="G271" s="33">
        <v>46022</v>
      </c>
      <c r="H271" s="2">
        <v>63619667</v>
      </c>
      <c r="I271" s="2">
        <v>8755000</v>
      </c>
      <c r="J271" s="7">
        <f>2334667+8755000+I271+I271+I271+I271+I271</f>
        <v>54864667</v>
      </c>
      <c r="K271" s="3">
        <f>H271-J271</f>
        <v>8755000</v>
      </c>
      <c r="L271" s="1">
        <f t="shared" si="14"/>
        <v>0.86238532182194538</v>
      </c>
      <c r="M271" s="34">
        <v>0</v>
      </c>
      <c r="N271" s="2"/>
      <c r="O271" s="31"/>
    </row>
    <row r="272" spans="1:15" ht="64" x14ac:dyDescent="0.2">
      <c r="A272" s="30" t="s">
        <v>726</v>
      </c>
      <c r="B272" s="30">
        <v>1121334308</v>
      </c>
      <c r="C272" s="30">
        <v>7</v>
      </c>
      <c r="D272" s="30" t="s">
        <v>662</v>
      </c>
      <c r="E272" s="30">
        <v>264</v>
      </c>
      <c r="F272" s="32">
        <v>45804</v>
      </c>
      <c r="G272" s="33">
        <v>46022</v>
      </c>
      <c r="H272" s="2">
        <v>28654600</v>
      </c>
      <c r="I272" s="2">
        <v>4017000</v>
      </c>
      <c r="J272" s="7">
        <f>535600+4017000+I272+I272+I272+I272+I272</f>
        <v>24637600</v>
      </c>
      <c r="K272" s="3">
        <f>H272-J272</f>
        <v>4017000</v>
      </c>
      <c r="L272" s="1">
        <f t="shared" si="14"/>
        <v>0.85981308411214952</v>
      </c>
      <c r="M272" s="34">
        <v>0</v>
      </c>
      <c r="N272" s="2"/>
      <c r="O272" s="31"/>
    </row>
    <row r="273" spans="1:15" ht="48" x14ac:dyDescent="0.2">
      <c r="A273" s="30" t="s">
        <v>902</v>
      </c>
      <c r="B273" s="30">
        <v>901277134</v>
      </c>
      <c r="C273" s="30">
        <v>6</v>
      </c>
      <c r="D273" s="30" t="s">
        <v>903</v>
      </c>
      <c r="E273" s="30">
        <v>265</v>
      </c>
      <c r="F273" s="32">
        <v>45813</v>
      </c>
      <c r="G273" s="33">
        <v>45842</v>
      </c>
      <c r="H273" s="2">
        <v>1576300</v>
      </c>
      <c r="I273" s="2"/>
      <c r="J273" s="2">
        <f>H273</f>
        <v>1576300</v>
      </c>
      <c r="K273" s="3">
        <f>H273-J273</f>
        <v>0</v>
      </c>
      <c r="L273" s="1">
        <f t="shared" si="14"/>
        <v>1</v>
      </c>
      <c r="M273" s="34">
        <v>0</v>
      </c>
      <c r="N273" s="2"/>
      <c r="O273" s="31"/>
    </row>
    <row r="274" spans="1:15" ht="36" customHeight="1" x14ac:dyDescent="0.2">
      <c r="A274" s="30" t="s">
        <v>159</v>
      </c>
      <c r="B274" s="46">
        <v>1143425034</v>
      </c>
      <c r="C274" s="30">
        <v>5</v>
      </c>
      <c r="D274" s="30" t="s">
        <v>728</v>
      </c>
      <c r="E274" s="30">
        <v>266</v>
      </c>
      <c r="F274" s="47">
        <v>45804</v>
      </c>
      <c r="G274" s="47">
        <v>46022</v>
      </c>
      <c r="H274" s="44">
        <v>66860733</v>
      </c>
      <c r="I274" s="44">
        <v>9373000</v>
      </c>
      <c r="J274" s="7">
        <f>1249733+9373000+I274+I274+I274+I274</f>
        <v>48114733</v>
      </c>
      <c r="K274" s="4">
        <f>H274-J274</f>
        <v>18746000</v>
      </c>
      <c r="L274" s="1">
        <f t="shared" si="14"/>
        <v>0.71962616682649894</v>
      </c>
      <c r="M274" s="34">
        <v>0</v>
      </c>
      <c r="N274" s="2"/>
      <c r="O274" s="31"/>
    </row>
    <row r="275" spans="1:15" ht="46.5" customHeight="1" x14ac:dyDescent="0.2">
      <c r="A275" s="30" t="s">
        <v>488</v>
      </c>
      <c r="B275" s="46">
        <v>63514972</v>
      </c>
      <c r="C275" s="30">
        <v>1</v>
      </c>
      <c r="D275" s="30" t="s">
        <v>729</v>
      </c>
      <c r="E275" s="30">
        <v>267</v>
      </c>
      <c r="F275" s="47">
        <v>45804</v>
      </c>
      <c r="G275" s="47">
        <v>46022</v>
      </c>
      <c r="H275" s="44">
        <v>47757667</v>
      </c>
      <c r="I275" s="44">
        <v>6695000</v>
      </c>
      <c r="J275" s="7">
        <f>892667+6695000+I275+I275+I275+I275+I275+I275</f>
        <v>47757667</v>
      </c>
      <c r="K275" s="3">
        <f t="shared" si="13"/>
        <v>0</v>
      </c>
      <c r="L275" s="1">
        <f t="shared" si="14"/>
        <v>1</v>
      </c>
      <c r="M275" s="34">
        <v>0</v>
      </c>
      <c r="N275" s="2"/>
      <c r="O275" s="31"/>
    </row>
    <row r="276" spans="1:15" ht="46.5" customHeight="1" x14ac:dyDescent="0.2">
      <c r="A276" s="30" t="s">
        <v>801</v>
      </c>
      <c r="B276" s="48">
        <v>16935127</v>
      </c>
      <c r="C276" s="30">
        <v>8</v>
      </c>
      <c r="D276" s="30" t="s">
        <v>802</v>
      </c>
      <c r="E276" s="30">
        <v>268</v>
      </c>
      <c r="F276" s="32">
        <v>45805</v>
      </c>
      <c r="G276" s="32">
        <v>46022</v>
      </c>
      <c r="H276" s="44">
        <v>36565000</v>
      </c>
      <c r="I276" s="44">
        <v>5150000</v>
      </c>
      <c r="J276" s="7">
        <f>515000+5150000+I276+I276+I276+I276</f>
        <v>26265000</v>
      </c>
      <c r="K276" s="4">
        <f>H276-J276</f>
        <v>10300000</v>
      </c>
      <c r="L276" s="1">
        <f t="shared" si="14"/>
        <v>0.71830985915492951</v>
      </c>
      <c r="M276" s="34">
        <v>0</v>
      </c>
      <c r="N276" s="2"/>
      <c r="O276" s="31"/>
    </row>
    <row r="277" spans="1:15" ht="46.5" customHeight="1" x14ac:dyDescent="0.2">
      <c r="A277" s="30" t="s">
        <v>799</v>
      </c>
      <c r="B277" s="48">
        <v>39578965</v>
      </c>
      <c r="C277" s="30">
        <v>5</v>
      </c>
      <c r="D277" s="30" t="s">
        <v>800</v>
      </c>
      <c r="E277" s="30">
        <v>269</v>
      </c>
      <c r="F277" s="32">
        <v>45804</v>
      </c>
      <c r="G277" s="32">
        <v>46017</v>
      </c>
      <c r="H277" s="44">
        <v>57680000</v>
      </c>
      <c r="I277" s="44">
        <v>8240000</v>
      </c>
      <c r="J277" s="7">
        <f>1098667+8240000+I277+I277+I277+I277+I277</f>
        <v>50538667</v>
      </c>
      <c r="K277" s="3">
        <f>H277-J277</f>
        <v>7141333</v>
      </c>
      <c r="L277" s="1">
        <f>1-(K277/H277)</f>
        <v>0.87619048196948679</v>
      </c>
      <c r="M277" s="34">
        <v>0</v>
      </c>
      <c r="N277" s="2"/>
      <c r="O277" s="31"/>
    </row>
    <row r="278" spans="1:15" ht="80" x14ac:dyDescent="0.2">
      <c r="A278" s="30" t="s">
        <v>731</v>
      </c>
      <c r="B278" s="30">
        <v>32580133</v>
      </c>
      <c r="C278" s="30">
        <v>5</v>
      </c>
      <c r="D278" s="30" t="s">
        <v>730</v>
      </c>
      <c r="E278" s="30">
        <v>270</v>
      </c>
      <c r="F278" s="32">
        <v>45805</v>
      </c>
      <c r="G278" s="32">
        <v>46022</v>
      </c>
      <c r="H278" s="44">
        <v>43878000</v>
      </c>
      <c r="I278" s="44">
        <v>6180000</v>
      </c>
      <c r="J278" s="7">
        <f>6180000+I278+I278+I278+I278+I278+I278</f>
        <v>43260000</v>
      </c>
      <c r="K278" s="3">
        <f t="shared" si="13"/>
        <v>618000</v>
      </c>
      <c r="L278" s="1">
        <f t="shared" si="14"/>
        <v>0.9859154929577465</v>
      </c>
      <c r="M278" s="34">
        <v>0</v>
      </c>
      <c r="N278" s="2"/>
      <c r="O278" s="31"/>
    </row>
    <row r="279" spans="1:15" ht="64" x14ac:dyDescent="0.2">
      <c r="A279" s="30" t="s">
        <v>793</v>
      </c>
      <c r="B279" s="30">
        <v>1063135376</v>
      </c>
      <c r="C279" s="30">
        <v>4</v>
      </c>
      <c r="D279" s="30" t="s">
        <v>796</v>
      </c>
      <c r="E279" s="30">
        <v>271</v>
      </c>
      <c r="F279" s="32">
        <v>45806</v>
      </c>
      <c r="G279" s="32">
        <v>46021</v>
      </c>
      <c r="H279" s="44">
        <v>61285000</v>
      </c>
      <c r="I279" s="44">
        <v>8755000</v>
      </c>
      <c r="J279" s="7">
        <f>8755000+I279+I279+I279+I279+I279</f>
        <v>52530000</v>
      </c>
      <c r="K279" s="3">
        <f>H279-J279</f>
        <v>8755000</v>
      </c>
      <c r="L279" s="1">
        <f>1-(K279/H279)</f>
        <v>0.85714285714285721</v>
      </c>
      <c r="M279" s="34">
        <v>0</v>
      </c>
      <c r="N279" s="2"/>
      <c r="O279" s="31"/>
    </row>
    <row r="280" spans="1:15" ht="80" x14ac:dyDescent="0.2">
      <c r="A280" s="30" t="s">
        <v>794</v>
      </c>
      <c r="B280" s="30">
        <v>1022432970</v>
      </c>
      <c r="C280" s="30">
        <v>4</v>
      </c>
      <c r="D280" s="30" t="s">
        <v>797</v>
      </c>
      <c r="E280" s="30">
        <v>272</v>
      </c>
      <c r="F280" s="32">
        <v>45806</v>
      </c>
      <c r="G280" s="32">
        <v>46022</v>
      </c>
      <c r="H280" s="44">
        <v>26203200</v>
      </c>
      <c r="I280" s="44">
        <v>3708000</v>
      </c>
      <c r="J280" s="7">
        <f>3708000+247200+I280+I280+I280+I280+I280</f>
        <v>22495200</v>
      </c>
      <c r="K280" s="3">
        <f>H280-J280</f>
        <v>3708000</v>
      </c>
      <c r="L280" s="1">
        <f>1-(K280/H280)</f>
        <v>0.85849056603773588</v>
      </c>
      <c r="M280" s="34">
        <v>0</v>
      </c>
      <c r="N280" s="2"/>
      <c r="O280" s="31"/>
    </row>
    <row r="281" spans="1:15" ht="64" x14ac:dyDescent="0.2">
      <c r="A281" s="30" t="s">
        <v>795</v>
      </c>
      <c r="B281" s="30">
        <v>19476707</v>
      </c>
      <c r="C281" s="30">
        <v>0</v>
      </c>
      <c r="D281" s="30" t="s">
        <v>798</v>
      </c>
      <c r="E281" s="30">
        <v>273</v>
      </c>
      <c r="F281" s="32">
        <v>45807</v>
      </c>
      <c r="G281" s="32">
        <v>46022</v>
      </c>
      <c r="H281" s="44">
        <v>61868667</v>
      </c>
      <c r="I281" s="44">
        <v>8755000</v>
      </c>
      <c r="J281" s="7">
        <f>291833+I281+I281+I281+I281+I281</f>
        <v>44066833</v>
      </c>
      <c r="K281" s="3">
        <f>H281-J281</f>
        <v>17801834</v>
      </c>
      <c r="L281" s="1">
        <f>1-(K281/H281)</f>
        <v>0.71226414171813335</v>
      </c>
      <c r="M281" s="34">
        <v>0</v>
      </c>
      <c r="N281" s="2"/>
      <c r="O281" s="31"/>
    </row>
    <row r="282" spans="1:15" ht="48" x14ac:dyDescent="0.2">
      <c r="A282" s="30" t="s">
        <v>135</v>
      </c>
      <c r="B282" s="30">
        <v>1024600527</v>
      </c>
      <c r="C282" s="30">
        <v>2</v>
      </c>
      <c r="D282" s="30" t="s">
        <v>732</v>
      </c>
      <c r="E282" s="30">
        <v>274</v>
      </c>
      <c r="F282" s="32">
        <v>45806</v>
      </c>
      <c r="G282" s="32">
        <v>46022</v>
      </c>
      <c r="H282" s="44">
        <v>23320000</v>
      </c>
      <c r="I282" s="44">
        <v>3300000</v>
      </c>
      <c r="J282" s="7">
        <f>220000+3300000+I282+I282+I282+I282+I282</f>
        <v>20020000</v>
      </c>
      <c r="K282" s="3">
        <f t="shared" si="13"/>
        <v>3300000</v>
      </c>
      <c r="L282" s="1">
        <f t="shared" si="14"/>
        <v>0.85849056603773588</v>
      </c>
      <c r="M282" s="34">
        <v>0</v>
      </c>
      <c r="N282" s="2"/>
      <c r="O282" s="31"/>
    </row>
    <row r="283" spans="1:15" ht="48" x14ac:dyDescent="0.2">
      <c r="A283" s="30" t="s">
        <v>113</v>
      </c>
      <c r="B283" s="30">
        <v>1030700108</v>
      </c>
      <c r="C283" s="30">
        <v>0</v>
      </c>
      <c r="D283" s="30" t="s">
        <v>733</v>
      </c>
      <c r="E283" s="30">
        <v>275</v>
      </c>
      <c r="F283" s="32">
        <v>45806</v>
      </c>
      <c r="G283" s="32">
        <v>46022</v>
      </c>
      <c r="H283" s="44">
        <v>23320000</v>
      </c>
      <c r="I283" s="44">
        <v>3300000</v>
      </c>
      <c r="J283" s="7">
        <f>3300000+I283+I283+I283+I283+I283</f>
        <v>19800000</v>
      </c>
      <c r="K283" s="4">
        <f>H283-J283</f>
        <v>3520000</v>
      </c>
      <c r="L283" s="1">
        <f t="shared" si="14"/>
        <v>0.84905660377358494</v>
      </c>
      <c r="M283" s="34">
        <v>0</v>
      </c>
      <c r="N283" s="2"/>
      <c r="O283" s="31"/>
    </row>
    <row r="284" spans="1:15" ht="64" x14ac:dyDescent="0.2">
      <c r="A284" s="30" t="s">
        <v>125</v>
      </c>
      <c r="B284" s="30">
        <v>1100950750</v>
      </c>
      <c r="C284" s="30">
        <v>5</v>
      </c>
      <c r="D284" s="30" t="s">
        <v>740</v>
      </c>
      <c r="E284" s="30">
        <v>276</v>
      </c>
      <c r="F284" s="32">
        <v>45811</v>
      </c>
      <c r="G284" s="32">
        <v>46022</v>
      </c>
      <c r="H284" s="44">
        <v>53560000</v>
      </c>
      <c r="I284" s="44">
        <v>7725000</v>
      </c>
      <c r="J284" s="7">
        <f>7210000+I284+I284+I284+I284+I284</f>
        <v>45835000</v>
      </c>
      <c r="K284" s="3">
        <f t="shared" ref="K284:K347" si="15">H284-J284</f>
        <v>7725000</v>
      </c>
      <c r="L284" s="1">
        <f t="shared" ref="L284:L347" si="16">1-(K284/H284)</f>
        <v>0.85576923076923084</v>
      </c>
      <c r="M284" s="34">
        <v>0</v>
      </c>
      <c r="N284" s="2"/>
      <c r="O284" s="31"/>
    </row>
    <row r="285" spans="1:15" ht="64" x14ac:dyDescent="0.2">
      <c r="A285" s="30" t="s">
        <v>772</v>
      </c>
      <c r="B285" s="30">
        <v>1031120873</v>
      </c>
      <c r="C285" s="30">
        <v>1</v>
      </c>
      <c r="D285" s="30" t="s">
        <v>741</v>
      </c>
      <c r="E285" s="30">
        <v>277</v>
      </c>
      <c r="F285" s="32">
        <v>45811</v>
      </c>
      <c r="G285" s="32">
        <v>46022</v>
      </c>
      <c r="H285" s="44">
        <v>13211467</v>
      </c>
      <c r="I285" s="44">
        <v>1905500</v>
      </c>
      <c r="J285" s="7">
        <f>1778467+I285+I285+I285+I285+I285</f>
        <v>11305967</v>
      </c>
      <c r="K285" s="3">
        <f t="shared" si="15"/>
        <v>1905500</v>
      </c>
      <c r="L285" s="1">
        <f t="shared" si="16"/>
        <v>0.85576923440826058</v>
      </c>
      <c r="M285" s="34">
        <v>0</v>
      </c>
      <c r="N285" s="2"/>
      <c r="O285" s="31"/>
    </row>
    <row r="286" spans="1:15" ht="80" x14ac:dyDescent="0.2">
      <c r="A286" s="30" t="s">
        <v>773</v>
      </c>
      <c r="B286" s="30">
        <v>79973698</v>
      </c>
      <c r="C286" s="30">
        <v>2</v>
      </c>
      <c r="D286" s="30" t="s">
        <v>742</v>
      </c>
      <c r="E286" s="30">
        <v>278</v>
      </c>
      <c r="F286" s="32">
        <v>45811</v>
      </c>
      <c r="G286" s="32">
        <v>46022</v>
      </c>
      <c r="H286" s="44">
        <v>49989333</v>
      </c>
      <c r="I286" s="44">
        <v>7210000</v>
      </c>
      <c r="J286" s="7">
        <f>6729333+I286+I286+I286+I286+I286</f>
        <v>42779333</v>
      </c>
      <c r="K286" s="3">
        <f t="shared" si="15"/>
        <v>7210000</v>
      </c>
      <c r="L286" s="1">
        <f t="shared" si="16"/>
        <v>0.85576922980748715</v>
      </c>
      <c r="M286" s="34">
        <v>0</v>
      </c>
      <c r="N286" s="2"/>
      <c r="O286" s="31"/>
    </row>
    <row r="287" spans="1:15" ht="64" x14ac:dyDescent="0.2">
      <c r="A287" s="30" t="s">
        <v>906</v>
      </c>
      <c r="B287" s="30">
        <v>79784692</v>
      </c>
      <c r="C287" s="30">
        <v>8</v>
      </c>
      <c r="D287" s="30" t="s">
        <v>743</v>
      </c>
      <c r="E287" s="30">
        <v>279</v>
      </c>
      <c r="F287" s="32">
        <v>45811</v>
      </c>
      <c r="G287" s="32">
        <v>46022</v>
      </c>
      <c r="H287" s="44">
        <v>46418667</v>
      </c>
      <c r="I287" s="44">
        <v>6695000</v>
      </c>
      <c r="J287" s="7">
        <f>6248667+I287+I287+I287+I287</f>
        <v>33028667</v>
      </c>
      <c r="K287" s="3">
        <f t="shared" si="15"/>
        <v>13390000</v>
      </c>
      <c r="L287" s="1">
        <f t="shared" si="16"/>
        <v>0.71153846360990936</v>
      </c>
      <c r="M287" s="34">
        <v>0</v>
      </c>
      <c r="N287" s="2"/>
      <c r="O287" s="31"/>
    </row>
    <row r="288" spans="1:15" ht="64" x14ac:dyDescent="0.2">
      <c r="A288" s="30" t="s">
        <v>774</v>
      </c>
      <c r="B288" s="30">
        <v>1030656140</v>
      </c>
      <c r="C288" s="30">
        <v>9</v>
      </c>
      <c r="D288" s="30" t="s">
        <v>744</v>
      </c>
      <c r="E288" s="30">
        <v>280</v>
      </c>
      <c r="F288" s="32">
        <v>45811</v>
      </c>
      <c r="G288" s="32">
        <v>46022</v>
      </c>
      <c r="H288" s="44">
        <v>46418667</v>
      </c>
      <c r="I288" s="44">
        <v>6695000</v>
      </c>
      <c r="J288" s="7">
        <f>6248667+I288+I288+I288</f>
        <v>26333667</v>
      </c>
      <c r="K288" s="3">
        <f t="shared" si="15"/>
        <v>20085000</v>
      </c>
      <c r="L288" s="1">
        <f t="shared" si="16"/>
        <v>0.56730769541486403</v>
      </c>
      <c r="M288" s="34">
        <v>0</v>
      </c>
      <c r="N288" s="2"/>
      <c r="O288" s="31"/>
    </row>
    <row r="289" spans="1:15" ht="80" x14ac:dyDescent="0.2">
      <c r="A289" s="30" t="s">
        <v>775</v>
      </c>
      <c r="B289" s="30">
        <v>79590490</v>
      </c>
      <c r="C289" s="30">
        <v>3</v>
      </c>
      <c r="D289" s="30" t="s">
        <v>745</v>
      </c>
      <c r="E289" s="30">
        <v>281</v>
      </c>
      <c r="F289" s="32">
        <v>45811</v>
      </c>
      <c r="G289" s="32">
        <v>46022</v>
      </c>
      <c r="H289" s="44">
        <v>46418667</v>
      </c>
      <c r="I289" s="44">
        <v>6695000</v>
      </c>
      <c r="J289" s="7">
        <f>6248667+I289+I289+I289+I289+I289</f>
        <v>39723667</v>
      </c>
      <c r="K289" s="3">
        <f>H289-J289</f>
        <v>6695000</v>
      </c>
      <c r="L289" s="1">
        <f t="shared" si="16"/>
        <v>0.85576923180495468</v>
      </c>
      <c r="M289" s="34">
        <v>0</v>
      </c>
      <c r="N289" s="2"/>
      <c r="O289" s="31"/>
    </row>
    <row r="290" spans="1:15" ht="64" x14ac:dyDescent="0.2">
      <c r="A290" s="30" t="s">
        <v>776</v>
      </c>
      <c r="B290" s="30">
        <v>80749954</v>
      </c>
      <c r="C290" s="30">
        <v>8</v>
      </c>
      <c r="D290" s="30" t="s">
        <v>746</v>
      </c>
      <c r="E290" s="30">
        <v>282</v>
      </c>
      <c r="F290" s="32">
        <v>45811</v>
      </c>
      <c r="G290" s="32">
        <v>46022</v>
      </c>
      <c r="H290" s="44">
        <v>60701333</v>
      </c>
      <c r="I290" s="44">
        <v>8755000</v>
      </c>
      <c r="J290" s="7">
        <f>8171333+I290+I290+I290+I290+I290</f>
        <v>51946333</v>
      </c>
      <c r="K290" s="3">
        <f>H290-J290</f>
        <v>8755000</v>
      </c>
      <c r="L290" s="1">
        <f t="shared" si="16"/>
        <v>0.85576922997720661</v>
      </c>
      <c r="M290" s="34">
        <v>0</v>
      </c>
      <c r="N290" s="2"/>
      <c r="O290" s="31"/>
    </row>
    <row r="291" spans="1:15" ht="48" x14ac:dyDescent="0.2">
      <c r="A291" s="30" t="s">
        <v>777</v>
      </c>
      <c r="B291" s="30">
        <v>830101111</v>
      </c>
      <c r="C291" s="30">
        <v>4</v>
      </c>
      <c r="D291" s="30" t="s">
        <v>747</v>
      </c>
      <c r="E291" s="30">
        <v>283</v>
      </c>
      <c r="F291" s="32">
        <v>45814</v>
      </c>
      <c r="G291" s="32">
        <v>46022</v>
      </c>
      <c r="H291" s="44">
        <v>272422067</v>
      </c>
      <c r="I291" s="30"/>
      <c r="J291" s="7">
        <f>5743722.6+7832349+7832349+7832349</f>
        <v>29240769.600000001</v>
      </c>
      <c r="K291" s="3">
        <f t="shared" si="15"/>
        <v>243181297.40000001</v>
      </c>
      <c r="L291" s="1">
        <f t="shared" si="16"/>
        <v>0.10733627390030775</v>
      </c>
      <c r="M291" s="34">
        <v>0</v>
      </c>
      <c r="N291" s="2"/>
      <c r="O291" s="31"/>
    </row>
    <row r="292" spans="1:15" ht="64" x14ac:dyDescent="0.2">
      <c r="A292" s="30" t="s">
        <v>778</v>
      </c>
      <c r="B292" s="30">
        <v>52816943</v>
      </c>
      <c r="C292" s="30">
        <v>2</v>
      </c>
      <c r="D292" s="30" t="s">
        <v>748</v>
      </c>
      <c r="E292" s="30">
        <v>284</v>
      </c>
      <c r="F292" s="32">
        <v>45814</v>
      </c>
      <c r="G292" s="32">
        <v>46022</v>
      </c>
      <c r="H292" s="44">
        <v>56306667</v>
      </c>
      <c r="I292" s="44">
        <v>8240000</v>
      </c>
      <c r="J292" s="7">
        <f>6866667+I292+I292+I292+I292+I292</f>
        <v>48066667</v>
      </c>
      <c r="K292" s="3">
        <f t="shared" si="15"/>
        <v>8240000</v>
      </c>
      <c r="L292" s="1">
        <f t="shared" si="16"/>
        <v>0.85365853745170173</v>
      </c>
      <c r="M292" s="34">
        <v>0</v>
      </c>
      <c r="N292" s="2"/>
      <c r="O292" s="31"/>
    </row>
    <row r="293" spans="1:15" ht="96" x14ac:dyDescent="0.2">
      <c r="A293" s="30" t="s">
        <v>324</v>
      </c>
      <c r="B293" s="30">
        <v>1049640069</v>
      </c>
      <c r="C293" s="30">
        <v>2</v>
      </c>
      <c r="D293" s="30" t="s">
        <v>749</v>
      </c>
      <c r="E293" s="30">
        <v>285</v>
      </c>
      <c r="F293" s="32">
        <v>45814</v>
      </c>
      <c r="G293" s="32">
        <v>46022</v>
      </c>
      <c r="H293" s="44">
        <v>49268333</v>
      </c>
      <c r="I293" s="44">
        <v>7210000</v>
      </c>
      <c r="J293" s="7">
        <f>6008333+I293+I293+I293+I293+I293</f>
        <v>42058333</v>
      </c>
      <c r="K293" s="3">
        <f t="shared" si="15"/>
        <v>7210000</v>
      </c>
      <c r="L293" s="1">
        <f t="shared" si="16"/>
        <v>0.85365853559526772</v>
      </c>
      <c r="M293" s="34">
        <v>0</v>
      </c>
      <c r="N293" s="2"/>
      <c r="O293" s="31"/>
    </row>
    <row r="294" spans="1:15" ht="96" x14ac:dyDescent="0.2">
      <c r="A294" s="30" t="s">
        <v>323</v>
      </c>
      <c r="B294" s="30">
        <v>93356952</v>
      </c>
      <c r="C294" s="30">
        <v>3</v>
      </c>
      <c r="D294" s="30" t="s">
        <v>750</v>
      </c>
      <c r="E294" s="30">
        <v>286</v>
      </c>
      <c r="F294" s="32">
        <v>45814</v>
      </c>
      <c r="G294" s="32">
        <v>46022</v>
      </c>
      <c r="H294" s="44">
        <v>49268333</v>
      </c>
      <c r="I294" s="44">
        <v>7210000</v>
      </c>
      <c r="J294" s="7">
        <f>6008333+I294+I294+I294+I294+I294</f>
        <v>42058333</v>
      </c>
      <c r="K294" s="3">
        <f t="shared" si="15"/>
        <v>7210000</v>
      </c>
      <c r="L294" s="1">
        <f t="shared" si="16"/>
        <v>0.85365853559526772</v>
      </c>
      <c r="M294" s="34">
        <v>0</v>
      </c>
      <c r="N294" s="2"/>
      <c r="O294" s="31"/>
    </row>
    <row r="295" spans="1:15" ht="48" x14ac:dyDescent="0.2">
      <c r="A295" s="30" t="s">
        <v>158</v>
      </c>
      <c r="B295" s="30">
        <v>7170018</v>
      </c>
      <c r="C295" s="30">
        <v>6</v>
      </c>
      <c r="D295" s="30" t="s">
        <v>751</v>
      </c>
      <c r="E295" s="30">
        <v>287</v>
      </c>
      <c r="F295" s="32">
        <v>45818</v>
      </c>
      <c r="G295" s="32">
        <v>46022</v>
      </c>
      <c r="H295" s="44">
        <v>62799100</v>
      </c>
      <c r="I295" s="44">
        <v>9373000</v>
      </c>
      <c r="J295" s="7">
        <f>6561100+I295+I295+I295+I295+I295</f>
        <v>53426100</v>
      </c>
      <c r="K295" s="3">
        <f t="shared" si="15"/>
        <v>9373000</v>
      </c>
      <c r="L295" s="1">
        <f t="shared" si="16"/>
        <v>0.85074626865671643</v>
      </c>
      <c r="M295" s="34">
        <v>0</v>
      </c>
      <c r="N295" s="2"/>
      <c r="O295" s="31"/>
    </row>
    <row r="296" spans="1:15" ht="64" x14ac:dyDescent="0.2">
      <c r="A296" s="30" t="s">
        <v>779</v>
      </c>
      <c r="B296" s="30">
        <v>1121337728</v>
      </c>
      <c r="C296" s="30">
        <v>0</v>
      </c>
      <c r="D296" s="30" t="s">
        <v>752</v>
      </c>
      <c r="E296" s="30">
        <v>288</v>
      </c>
      <c r="F296" s="32">
        <v>45818</v>
      </c>
      <c r="G296" s="32">
        <v>46022</v>
      </c>
      <c r="H296" s="44">
        <v>26913900</v>
      </c>
      <c r="I296" s="44">
        <v>4017000</v>
      </c>
      <c r="J296" s="7">
        <v>0</v>
      </c>
      <c r="K296" s="3">
        <f t="shared" si="15"/>
        <v>26913900</v>
      </c>
      <c r="L296" s="1">
        <f t="shared" si="16"/>
        <v>0</v>
      </c>
      <c r="M296" s="34">
        <v>0</v>
      </c>
      <c r="N296" s="2"/>
      <c r="O296" s="31"/>
    </row>
    <row r="297" spans="1:15" ht="50.25" customHeight="1" x14ac:dyDescent="0.2">
      <c r="A297" s="30" t="s">
        <v>780</v>
      </c>
      <c r="B297" s="30">
        <v>8888679</v>
      </c>
      <c r="C297" s="30">
        <v>1</v>
      </c>
      <c r="D297" s="30" t="s">
        <v>753</v>
      </c>
      <c r="E297" s="30">
        <v>289</v>
      </c>
      <c r="F297" s="32">
        <v>45827</v>
      </c>
      <c r="G297" s="32">
        <v>45856</v>
      </c>
      <c r="H297" s="44">
        <v>39858000</v>
      </c>
      <c r="I297" s="30"/>
      <c r="J297" s="7">
        <v>38950000.100000001</v>
      </c>
      <c r="K297" s="3">
        <f t="shared" si="15"/>
        <v>907999.89999999851</v>
      </c>
      <c r="L297" s="1">
        <f t="shared" si="16"/>
        <v>0.97721913041296604</v>
      </c>
      <c r="M297" s="34">
        <v>0</v>
      </c>
      <c r="N297" s="2"/>
      <c r="O297" s="31"/>
    </row>
    <row r="298" spans="1:15" ht="80" x14ac:dyDescent="0.2">
      <c r="A298" s="30" t="s">
        <v>781</v>
      </c>
      <c r="B298" s="30">
        <v>1089244839</v>
      </c>
      <c r="C298" s="30">
        <v>4</v>
      </c>
      <c r="D298" s="30" t="s">
        <v>754</v>
      </c>
      <c r="E298" s="30">
        <v>290</v>
      </c>
      <c r="F298" s="32">
        <v>45819</v>
      </c>
      <c r="G298" s="32">
        <v>46022</v>
      </c>
      <c r="H298" s="44">
        <v>44856500</v>
      </c>
      <c r="I298" s="44">
        <v>6695000</v>
      </c>
      <c r="J298" s="7">
        <f>4463333+I298+I298+I298+I298+I298</f>
        <v>37938333</v>
      </c>
      <c r="K298" s="3">
        <f t="shared" si="15"/>
        <v>6918167</v>
      </c>
      <c r="L298" s="1">
        <f t="shared" si="16"/>
        <v>0.8457711368475026</v>
      </c>
      <c r="M298" s="34">
        <v>0</v>
      </c>
      <c r="N298" s="2"/>
      <c r="O298" s="31"/>
    </row>
    <row r="299" spans="1:15" ht="48" x14ac:dyDescent="0.2">
      <c r="A299" s="30" t="s">
        <v>782</v>
      </c>
      <c r="B299" s="30">
        <v>1121331993</v>
      </c>
      <c r="C299" s="30">
        <v>9</v>
      </c>
      <c r="D299" s="30" t="s">
        <v>755</v>
      </c>
      <c r="E299" s="30">
        <v>291</v>
      </c>
      <c r="F299" s="32">
        <v>45820</v>
      </c>
      <c r="G299" s="32">
        <v>46022</v>
      </c>
      <c r="H299" s="44">
        <v>37577833</v>
      </c>
      <c r="I299" s="44">
        <v>5665000</v>
      </c>
      <c r="J299" s="7">
        <f>3587833+I299+I299+I299+I299+I299</f>
        <v>31912833</v>
      </c>
      <c r="K299" s="3">
        <f t="shared" si="15"/>
        <v>5665000</v>
      </c>
      <c r="L299" s="1">
        <f t="shared" si="16"/>
        <v>0.84924622981852094</v>
      </c>
      <c r="M299" s="34">
        <v>0</v>
      </c>
      <c r="N299" s="2"/>
      <c r="O299" s="31"/>
    </row>
    <row r="300" spans="1:15" ht="80" x14ac:dyDescent="0.2">
      <c r="A300" s="30" t="s">
        <v>783</v>
      </c>
      <c r="B300" s="30">
        <v>1010239158</v>
      </c>
      <c r="C300" s="30">
        <v>1</v>
      </c>
      <c r="D300" s="30" t="s">
        <v>756</v>
      </c>
      <c r="E300" s="30">
        <v>292</v>
      </c>
      <c r="F300" s="32">
        <v>45824</v>
      </c>
      <c r="G300" s="32">
        <v>46022</v>
      </c>
      <c r="H300" s="44">
        <v>24596400</v>
      </c>
      <c r="I300" s="44">
        <v>3708000</v>
      </c>
      <c r="J300" s="7">
        <f>1854000+I300+I300+I300+I300+I300</f>
        <v>20394000</v>
      </c>
      <c r="K300" s="3">
        <f t="shared" si="15"/>
        <v>4202400</v>
      </c>
      <c r="L300" s="1">
        <f t="shared" si="16"/>
        <v>0.82914572864321612</v>
      </c>
      <c r="M300" s="34">
        <v>0</v>
      </c>
      <c r="N300" s="2"/>
      <c r="O300" s="31"/>
    </row>
    <row r="301" spans="1:15" ht="48" x14ac:dyDescent="0.2">
      <c r="A301" s="30" t="s">
        <v>784</v>
      </c>
      <c r="B301" s="30">
        <v>51908699</v>
      </c>
      <c r="C301" s="30">
        <v>1</v>
      </c>
      <c r="D301" s="30" t="s">
        <v>757</v>
      </c>
      <c r="E301" s="30">
        <v>293</v>
      </c>
      <c r="F301" s="32">
        <v>45824</v>
      </c>
      <c r="G301" s="32">
        <v>45912</v>
      </c>
      <c r="H301" s="44">
        <v>20085000</v>
      </c>
      <c r="I301" s="44">
        <v>6695000</v>
      </c>
      <c r="J301" s="7">
        <f>I301+I301+3347500</f>
        <v>16737500</v>
      </c>
      <c r="K301" s="3">
        <f t="shared" si="15"/>
        <v>3347500</v>
      </c>
      <c r="L301" s="1">
        <f t="shared" si="16"/>
        <v>0.83333333333333337</v>
      </c>
      <c r="M301" s="34">
        <v>0</v>
      </c>
      <c r="N301" s="2"/>
      <c r="O301" s="31"/>
    </row>
    <row r="302" spans="1:15" ht="80" x14ac:dyDescent="0.2">
      <c r="A302" s="30" t="s">
        <v>285</v>
      </c>
      <c r="B302" s="30">
        <v>52052153</v>
      </c>
      <c r="C302" s="30">
        <v>0</v>
      </c>
      <c r="D302" s="30" t="s">
        <v>758</v>
      </c>
      <c r="E302" s="30">
        <v>294</v>
      </c>
      <c r="F302" s="32">
        <v>45824</v>
      </c>
      <c r="G302" s="32">
        <v>46022</v>
      </c>
      <c r="H302" s="44">
        <v>36822500</v>
      </c>
      <c r="I302" s="44">
        <v>5665000</v>
      </c>
      <c r="J302" s="7">
        <f>2832500+I302+I302+I302+I302+I302</f>
        <v>31157500</v>
      </c>
      <c r="K302" s="3">
        <f>H302-J302</f>
        <v>5665000</v>
      </c>
      <c r="L302" s="1">
        <f t="shared" si="16"/>
        <v>0.84615384615384615</v>
      </c>
      <c r="M302" s="34">
        <v>0</v>
      </c>
      <c r="N302" s="2"/>
      <c r="O302" s="31"/>
    </row>
    <row r="303" spans="1:15" ht="48" x14ac:dyDescent="0.2">
      <c r="A303" s="30" t="s">
        <v>144</v>
      </c>
      <c r="B303" s="30">
        <v>1022374419</v>
      </c>
      <c r="C303" s="30">
        <v>7</v>
      </c>
      <c r="D303" s="30" t="s">
        <v>759</v>
      </c>
      <c r="E303" s="30">
        <v>295</v>
      </c>
      <c r="F303" s="32">
        <v>45821</v>
      </c>
      <c r="G303" s="32">
        <v>46022</v>
      </c>
      <c r="H303" s="44">
        <v>57783000</v>
      </c>
      <c r="I303" s="44">
        <v>8755000</v>
      </c>
      <c r="J303" s="7">
        <f>5253000+I303+I303+I303+I303+I303</f>
        <v>49028000</v>
      </c>
      <c r="K303" s="3">
        <f t="shared" si="15"/>
        <v>8755000</v>
      </c>
      <c r="L303" s="1">
        <f t="shared" si="16"/>
        <v>0.84848484848484851</v>
      </c>
      <c r="M303" s="34">
        <v>0</v>
      </c>
      <c r="N303" s="2"/>
      <c r="O303" s="31"/>
    </row>
    <row r="304" spans="1:15" ht="80" x14ac:dyDescent="0.2">
      <c r="A304" s="30" t="s">
        <v>785</v>
      </c>
      <c r="B304" s="30">
        <v>1010236283</v>
      </c>
      <c r="C304" s="30">
        <v>9</v>
      </c>
      <c r="D304" s="30" t="s">
        <v>760</v>
      </c>
      <c r="E304" s="30">
        <v>296</v>
      </c>
      <c r="F304" s="32">
        <v>45825</v>
      </c>
      <c r="G304" s="32">
        <v>46022</v>
      </c>
      <c r="H304" s="44">
        <v>50212500</v>
      </c>
      <c r="I304" s="44">
        <v>7725000</v>
      </c>
      <c r="J304" s="7">
        <f>3605000+I304+I304+I304+I304+I304</f>
        <v>42230000</v>
      </c>
      <c r="K304" s="3">
        <f t="shared" si="15"/>
        <v>7982500</v>
      </c>
      <c r="L304" s="1">
        <f t="shared" si="16"/>
        <v>0.84102564102564104</v>
      </c>
      <c r="M304" s="34">
        <v>0</v>
      </c>
      <c r="N304" s="2"/>
      <c r="O304" s="31"/>
    </row>
    <row r="305" spans="1:15" ht="64" x14ac:dyDescent="0.2">
      <c r="A305" s="30" t="s">
        <v>295</v>
      </c>
      <c r="B305" s="30">
        <v>80195916</v>
      </c>
      <c r="C305" s="30">
        <v>9</v>
      </c>
      <c r="D305" s="30" t="s">
        <v>761</v>
      </c>
      <c r="E305" s="30">
        <v>297</v>
      </c>
      <c r="F305" s="32">
        <v>45824</v>
      </c>
      <c r="G305" s="32">
        <v>46022</v>
      </c>
      <c r="H305" s="44">
        <v>60924500</v>
      </c>
      <c r="I305" s="44">
        <v>9373000</v>
      </c>
      <c r="J305" s="7">
        <f>1540000+4668500+I305+I305+I305+I305+I305</f>
        <v>53073500</v>
      </c>
      <c r="K305" s="3">
        <f t="shared" si="15"/>
        <v>7851000</v>
      </c>
      <c r="L305" s="1">
        <f t="shared" si="16"/>
        <v>0.87113558584805784</v>
      </c>
      <c r="M305" s="34">
        <v>0</v>
      </c>
      <c r="N305" s="2"/>
      <c r="O305" s="31"/>
    </row>
    <row r="306" spans="1:15" ht="96" x14ac:dyDescent="0.2">
      <c r="A306" s="30" t="s">
        <v>786</v>
      </c>
      <c r="B306" s="30">
        <v>52997369</v>
      </c>
      <c r="C306" s="30">
        <v>1</v>
      </c>
      <c r="D306" s="30" t="s">
        <v>762</v>
      </c>
      <c r="E306" s="30">
        <v>298</v>
      </c>
      <c r="F306" s="32">
        <v>45825</v>
      </c>
      <c r="G306" s="32">
        <v>46022</v>
      </c>
      <c r="H306" s="44">
        <v>21340000</v>
      </c>
      <c r="I306" s="44">
        <v>3300000</v>
      </c>
      <c r="J306" s="7">
        <f>3347500+I306+I306+I306+I306+I306</f>
        <v>19847500</v>
      </c>
      <c r="K306" s="3">
        <f t="shared" si="15"/>
        <v>1492500</v>
      </c>
      <c r="L306" s="1">
        <f t="shared" si="16"/>
        <v>0.93006091846298033</v>
      </c>
      <c r="M306" s="34">
        <v>0</v>
      </c>
      <c r="N306" s="2"/>
      <c r="O306" s="31"/>
    </row>
    <row r="307" spans="1:15" ht="48" x14ac:dyDescent="0.2">
      <c r="A307" s="30" t="s">
        <v>787</v>
      </c>
      <c r="B307" s="30">
        <v>1070956438</v>
      </c>
      <c r="C307" s="30">
        <v>0</v>
      </c>
      <c r="D307" s="30" t="s">
        <v>763</v>
      </c>
      <c r="E307" s="30">
        <v>299</v>
      </c>
      <c r="F307" s="32">
        <v>45826</v>
      </c>
      <c r="G307" s="32">
        <v>46022</v>
      </c>
      <c r="H307" s="44">
        <v>49955000</v>
      </c>
      <c r="I307" s="44">
        <v>7725000</v>
      </c>
      <c r="J307" s="7">
        <f>I307+I307+I307+I307+I307</f>
        <v>38625000</v>
      </c>
      <c r="K307" s="3">
        <f t="shared" si="15"/>
        <v>11330000</v>
      </c>
      <c r="L307" s="1">
        <f t="shared" si="16"/>
        <v>0.77319587628865982</v>
      </c>
      <c r="M307" s="34">
        <v>0</v>
      </c>
      <c r="N307" s="2"/>
      <c r="O307" s="31"/>
    </row>
    <row r="308" spans="1:15" ht="32" x14ac:dyDescent="0.2">
      <c r="A308" s="30" t="s">
        <v>788</v>
      </c>
      <c r="B308" s="30">
        <v>901312112</v>
      </c>
      <c r="C308" s="30">
        <v>4</v>
      </c>
      <c r="D308" s="30" t="s">
        <v>764</v>
      </c>
      <c r="E308" s="30">
        <v>300</v>
      </c>
      <c r="F308" s="32">
        <v>45833</v>
      </c>
      <c r="G308" s="32">
        <v>45941</v>
      </c>
      <c r="H308" s="44">
        <v>2499052.46</v>
      </c>
      <c r="I308" s="30"/>
      <c r="J308" s="3">
        <v>2499052.46</v>
      </c>
      <c r="K308" s="3">
        <f>H308-J308</f>
        <v>0</v>
      </c>
      <c r="L308" s="1">
        <f t="shared" si="16"/>
        <v>1</v>
      </c>
      <c r="M308" s="34">
        <v>0</v>
      </c>
      <c r="N308" s="2"/>
      <c r="O308" s="31"/>
    </row>
    <row r="309" spans="1:15" ht="32" x14ac:dyDescent="0.2">
      <c r="A309" s="30" t="s">
        <v>788</v>
      </c>
      <c r="B309" s="30">
        <v>901312112</v>
      </c>
      <c r="C309" s="30">
        <v>4</v>
      </c>
      <c r="D309" s="30" t="s">
        <v>764</v>
      </c>
      <c r="E309" s="30">
        <v>301</v>
      </c>
      <c r="F309" s="30"/>
      <c r="G309" s="30"/>
      <c r="H309" s="44">
        <v>46350000</v>
      </c>
      <c r="I309" s="30"/>
      <c r="J309" s="7">
        <v>2998829.81</v>
      </c>
      <c r="K309" s="3">
        <f t="shared" si="15"/>
        <v>43351170.189999998</v>
      </c>
      <c r="L309" s="1">
        <f t="shared" si="16"/>
        <v>6.4699672276159692E-2</v>
      </c>
      <c r="M309" s="34">
        <v>0</v>
      </c>
      <c r="N309" s="2"/>
      <c r="O309" s="31"/>
    </row>
    <row r="310" spans="1:15" ht="80" x14ac:dyDescent="0.2">
      <c r="A310" s="30" t="s">
        <v>789</v>
      </c>
      <c r="B310" s="30">
        <v>52616840</v>
      </c>
      <c r="C310" s="30">
        <v>4</v>
      </c>
      <c r="D310" s="30" t="s">
        <v>765</v>
      </c>
      <c r="E310" s="30">
        <v>302</v>
      </c>
      <c r="F310" s="32">
        <v>45827</v>
      </c>
      <c r="G310" s="32">
        <v>46019</v>
      </c>
      <c r="H310" s="44">
        <v>42401667</v>
      </c>
      <c r="I310" s="44">
        <v>6695000</v>
      </c>
      <c r="J310" s="7">
        <f>2678000+I310+I310+I310+I310+I310</f>
        <v>36153000</v>
      </c>
      <c r="K310" s="3">
        <f t="shared" si="15"/>
        <v>6248667</v>
      </c>
      <c r="L310" s="1">
        <f t="shared" si="16"/>
        <v>0.85263157224455344</v>
      </c>
      <c r="M310" s="34">
        <v>0</v>
      </c>
      <c r="N310" s="2"/>
      <c r="O310" s="31"/>
    </row>
    <row r="311" spans="1:15" ht="64" x14ac:dyDescent="0.2">
      <c r="A311" s="30" t="s">
        <v>790</v>
      </c>
      <c r="B311" s="30">
        <v>80857311</v>
      </c>
      <c r="C311" s="30">
        <v>5</v>
      </c>
      <c r="D311" s="30" t="s">
        <v>642</v>
      </c>
      <c r="E311" s="30">
        <v>303</v>
      </c>
      <c r="F311" s="32">
        <v>45833</v>
      </c>
      <c r="G311" s="32">
        <v>46010</v>
      </c>
      <c r="H311" s="44">
        <v>49440000</v>
      </c>
      <c r="I311" s="44">
        <v>8240000</v>
      </c>
      <c r="J311" s="7">
        <f>I311+I311+I311+I311+I311</f>
        <v>41200000</v>
      </c>
      <c r="K311" s="3">
        <f t="shared" si="15"/>
        <v>8240000</v>
      </c>
      <c r="L311" s="1">
        <f t="shared" si="16"/>
        <v>0.83333333333333337</v>
      </c>
      <c r="M311" s="34">
        <v>0</v>
      </c>
      <c r="N311" s="2"/>
      <c r="O311" s="31"/>
    </row>
    <row r="312" spans="1:15" ht="80" x14ac:dyDescent="0.2">
      <c r="A312" s="30" t="s">
        <v>791</v>
      </c>
      <c r="B312" s="30">
        <v>79671168</v>
      </c>
      <c r="C312" s="30">
        <v>4</v>
      </c>
      <c r="D312" s="30" t="s">
        <v>766</v>
      </c>
      <c r="E312" s="30">
        <v>304</v>
      </c>
      <c r="F312" s="32">
        <v>45834</v>
      </c>
      <c r="G312" s="32">
        <v>46016</v>
      </c>
      <c r="H312" s="44">
        <v>52530000</v>
      </c>
      <c r="I312" s="44">
        <v>8755000</v>
      </c>
      <c r="J312" s="7">
        <f>8463167+I312+I312+I312+I312</f>
        <v>43483167</v>
      </c>
      <c r="K312" s="3">
        <f t="shared" si="15"/>
        <v>9046833</v>
      </c>
      <c r="L312" s="1">
        <f t="shared" si="16"/>
        <v>0.82777778412335812</v>
      </c>
      <c r="M312" s="34">
        <v>0</v>
      </c>
      <c r="N312" s="2"/>
      <c r="O312" s="31"/>
    </row>
    <row r="313" spans="1:15" ht="48" x14ac:dyDescent="0.2">
      <c r="A313" s="30" t="s">
        <v>148</v>
      </c>
      <c r="B313" s="30">
        <v>1023902292</v>
      </c>
      <c r="C313" s="30">
        <v>1</v>
      </c>
      <c r="D313" s="30" t="s">
        <v>767</v>
      </c>
      <c r="E313" s="30">
        <v>305</v>
      </c>
      <c r="F313" s="32">
        <v>45834</v>
      </c>
      <c r="G313" s="32">
        <v>46016</v>
      </c>
      <c r="H313" s="44">
        <v>46350000</v>
      </c>
      <c r="I313" s="44">
        <v>7725000</v>
      </c>
      <c r="J313" s="7">
        <f>1287500+I313+I313+I313+I313+I313</f>
        <v>39912500</v>
      </c>
      <c r="K313" s="3">
        <f t="shared" si="15"/>
        <v>6437500</v>
      </c>
      <c r="L313" s="1">
        <f t="shared" si="16"/>
        <v>0.86111111111111116</v>
      </c>
      <c r="M313" s="34">
        <v>0</v>
      </c>
      <c r="N313" s="2"/>
      <c r="O313" s="31"/>
    </row>
    <row r="314" spans="1:15" ht="48" x14ac:dyDescent="0.2">
      <c r="A314" s="30" t="s">
        <v>126</v>
      </c>
      <c r="B314" s="30">
        <v>1020822526</v>
      </c>
      <c r="C314" s="30">
        <v>3</v>
      </c>
      <c r="D314" s="30" t="s">
        <v>768</v>
      </c>
      <c r="E314" s="30">
        <v>306</v>
      </c>
      <c r="F314" s="32">
        <v>45834</v>
      </c>
      <c r="G314" s="32">
        <v>46016</v>
      </c>
      <c r="H314" s="44">
        <v>27810000</v>
      </c>
      <c r="I314" s="44">
        <v>4635000</v>
      </c>
      <c r="J314" s="7">
        <f>772500+I314+I314+I314+I314+I314</f>
        <v>23947500</v>
      </c>
      <c r="K314" s="3">
        <f t="shared" si="15"/>
        <v>3862500</v>
      </c>
      <c r="L314" s="1">
        <f t="shared" si="16"/>
        <v>0.86111111111111116</v>
      </c>
      <c r="M314" s="34">
        <v>0</v>
      </c>
      <c r="N314" s="2"/>
      <c r="O314" s="31"/>
    </row>
    <row r="315" spans="1:15" ht="80" x14ac:dyDescent="0.2">
      <c r="A315" s="30" t="s">
        <v>321</v>
      </c>
      <c r="B315" s="30">
        <v>52904871</v>
      </c>
      <c r="C315" s="30">
        <v>8</v>
      </c>
      <c r="D315" s="30" t="s">
        <v>769</v>
      </c>
      <c r="E315" s="30">
        <v>307</v>
      </c>
      <c r="F315" s="30"/>
      <c r="G315" s="32">
        <v>46022</v>
      </c>
      <c r="H315" s="44">
        <v>56238000</v>
      </c>
      <c r="I315" s="44">
        <v>9373000</v>
      </c>
      <c r="J315" s="7">
        <f>8748133+I315+I315+I315+I315</f>
        <v>46240133</v>
      </c>
      <c r="K315" s="3">
        <f t="shared" si="15"/>
        <v>9997867</v>
      </c>
      <c r="L315" s="1">
        <f t="shared" si="16"/>
        <v>0.82222221629503189</v>
      </c>
      <c r="M315" s="34">
        <v>0</v>
      </c>
      <c r="N315" s="2"/>
      <c r="O315" s="31"/>
    </row>
    <row r="316" spans="1:15" ht="64" x14ac:dyDescent="0.2">
      <c r="A316" s="30" t="s">
        <v>121</v>
      </c>
      <c r="B316" s="30">
        <v>1020802607</v>
      </c>
      <c r="C316" s="30">
        <v>6</v>
      </c>
      <c r="D316" s="30" t="s">
        <v>770</v>
      </c>
      <c r="E316" s="30">
        <v>308</v>
      </c>
      <c r="F316" s="32">
        <v>45835</v>
      </c>
      <c r="G316" s="32">
        <v>46017</v>
      </c>
      <c r="H316" s="44">
        <v>33990000</v>
      </c>
      <c r="I316" s="44">
        <v>5665000</v>
      </c>
      <c r="J316" s="7">
        <f>I316+I316+I316+I316</f>
        <v>22660000</v>
      </c>
      <c r="K316" s="3">
        <f t="shared" si="15"/>
        <v>11330000</v>
      </c>
      <c r="L316" s="1">
        <f t="shared" si="16"/>
        <v>0.66666666666666674</v>
      </c>
      <c r="M316" s="34">
        <v>0</v>
      </c>
      <c r="N316" s="2"/>
      <c r="O316" s="31"/>
    </row>
    <row r="317" spans="1:15" ht="64" x14ac:dyDescent="0.2">
      <c r="A317" s="30" t="s">
        <v>792</v>
      </c>
      <c r="B317" s="30">
        <v>11311766</v>
      </c>
      <c r="C317" s="30">
        <v>8</v>
      </c>
      <c r="D317" s="30" t="s">
        <v>771</v>
      </c>
      <c r="E317" s="30">
        <v>309</v>
      </c>
      <c r="F317" s="32">
        <v>45834</v>
      </c>
      <c r="G317" s="32">
        <v>46016</v>
      </c>
      <c r="H317" s="44">
        <v>37080000</v>
      </c>
      <c r="I317" s="44">
        <v>6180000</v>
      </c>
      <c r="J317" s="7">
        <f>1030000+I317+I317+I317+I317+I317+I317+I317</f>
        <v>44290000</v>
      </c>
      <c r="K317" s="3">
        <f t="shared" si="15"/>
        <v>-7210000</v>
      </c>
      <c r="L317" s="1">
        <f t="shared" si="16"/>
        <v>1.1944444444444444</v>
      </c>
      <c r="M317" s="34">
        <v>0</v>
      </c>
      <c r="N317" s="2"/>
      <c r="O317" s="31"/>
    </row>
    <row r="318" spans="1:15" ht="32" x14ac:dyDescent="0.2">
      <c r="A318" s="30" t="s">
        <v>133</v>
      </c>
      <c r="B318" s="30">
        <v>1022392990</v>
      </c>
      <c r="C318" s="30">
        <v>9</v>
      </c>
      <c r="D318" s="30" t="s">
        <v>847</v>
      </c>
      <c r="E318" s="30">
        <v>310</v>
      </c>
      <c r="F318" s="30"/>
      <c r="G318" s="33">
        <v>46022</v>
      </c>
      <c r="H318" s="2">
        <v>13596000</v>
      </c>
      <c r="I318" s="2">
        <v>2266000</v>
      </c>
      <c r="J318" s="7">
        <f>2114933+I318+I318+I318+I318</f>
        <v>11178933</v>
      </c>
      <c r="K318" s="3">
        <f t="shared" si="15"/>
        <v>2417067</v>
      </c>
      <c r="L318" s="1">
        <f t="shared" si="16"/>
        <v>0.82222219770520744</v>
      </c>
      <c r="M318" s="34">
        <v>0</v>
      </c>
      <c r="N318" s="2"/>
      <c r="O318" s="31"/>
    </row>
    <row r="319" spans="1:15" ht="48" x14ac:dyDescent="0.2">
      <c r="A319" s="30" t="s">
        <v>803</v>
      </c>
      <c r="B319" s="30">
        <v>800015583</v>
      </c>
      <c r="C319" s="30">
        <v>1</v>
      </c>
      <c r="D319" s="30" t="s">
        <v>848</v>
      </c>
      <c r="E319" s="30">
        <v>311</v>
      </c>
      <c r="F319" s="32">
        <v>45845</v>
      </c>
      <c r="G319" s="33">
        <v>45875</v>
      </c>
      <c r="H319" s="2">
        <v>139800000</v>
      </c>
      <c r="I319" s="2"/>
      <c r="J319" s="7">
        <v>34800000</v>
      </c>
      <c r="K319" s="3">
        <f t="shared" si="15"/>
        <v>105000000</v>
      </c>
      <c r="L319" s="1">
        <f t="shared" si="16"/>
        <v>0.24892703862660948</v>
      </c>
      <c r="M319" s="34">
        <v>0</v>
      </c>
      <c r="N319" s="2"/>
      <c r="O319" s="31"/>
    </row>
    <row r="320" spans="1:15" ht="96" x14ac:dyDescent="0.2">
      <c r="A320" s="30" t="s">
        <v>804</v>
      </c>
      <c r="B320" s="30">
        <v>1089846479</v>
      </c>
      <c r="C320" s="30">
        <v>1</v>
      </c>
      <c r="D320" s="30" t="s">
        <v>849</v>
      </c>
      <c r="E320" s="30">
        <v>312</v>
      </c>
      <c r="F320" s="30"/>
      <c r="G320" s="33">
        <v>46022</v>
      </c>
      <c r="H320" s="2">
        <v>40170000</v>
      </c>
      <c r="I320" s="2">
        <v>6695000</v>
      </c>
      <c r="J320" s="7">
        <f>6248667+I320+I320+I320+I320</f>
        <v>33028667</v>
      </c>
      <c r="K320" s="3">
        <f t="shared" si="15"/>
        <v>7141333</v>
      </c>
      <c r="L320" s="1">
        <f t="shared" si="16"/>
        <v>0.82222223052028875</v>
      </c>
      <c r="M320" s="34">
        <v>0</v>
      </c>
      <c r="N320" s="2"/>
      <c r="O320" s="31"/>
    </row>
    <row r="321" spans="1:15" ht="64" x14ac:dyDescent="0.2">
      <c r="A321" s="30" t="s">
        <v>805</v>
      </c>
      <c r="B321" s="30">
        <v>12969555</v>
      </c>
      <c r="C321" s="30">
        <v>9</v>
      </c>
      <c r="D321" s="30" t="s">
        <v>850</v>
      </c>
      <c r="E321" s="30">
        <v>313</v>
      </c>
      <c r="F321" s="32">
        <v>45842</v>
      </c>
      <c r="G321" s="33">
        <v>46022</v>
      </c>
      <c r="H321" s="2">
        <v>46350000</v>
      </c>
      <c r="I321" s="2">
        <v>7725000</v>
      </c>
      <c r="J321" s="7">
        <f>6952500+I321+I321+I321+I321</f>
        <v>37852500</v>
      </c>
      <c r="K321" s="3">
        <f t="shared" si="15"/>
        <v>8497500</v>
      </c>
      <c r="L321" s="1">
        <f t="shared" si="16"/>
        <v>0.81666666666666665</v>
      </c>
      <c r="M321" s="34">
        <v>0</v>
      </c>
      <c r="N321" s="2"/>
      <c r="O321" s="31"/>
    </row>
    <row r="322" spans="1:15" ht="64" x14ac:dyDescent="0.2">
      <c r="A322" s="30" t="s">
        <v>299</v>
      </c>
      <c r="B322" s="30">
        <v>1018427750</v>
      </c>
      <c r="C322" s="30">
        <v>6</v>
      </c>
      <c r="D322" s="30" t="s">
        <v>851</v>
      </c>
      <c r="E322" s="30">
        <v>314</v>
      </c>
      <c r="F322" s="32">
        <v>45842</v>
      </c>
      <c r="G322" s="33">
        <v>46022</v>
      </c>
      <c r="H322" s="2">
        <v>36668000</v>
      </c>
      <c r="I322" s="2">
        <v>6180000</v>
      </c>
      <c r="J322" s="7">
        <f>5562000+I322+I322+I322+I322+I322+I322</f>
        <v>42642000</v>
      </c>
      <c r="K322" s="3">
        <f t="shared" si="15"/>
        <v>-5974000</v>
      </c>
      <c r="L322" s="1">
        <f t="shared" si="16"/>
        <v>1.1629213483146068</v>
      </c>
      <c r="M322" s="34">
        <v>0</v>
      </c>
      <c r="N322" s="2"/>
      <c r="O322" s="31"/>
    </row>
    <row r="323" spans="1:15" ht="64" x14ac:dyDescent="0.2">
      <c r="A323" s="30" t="s">
        <v>110</v>
      </c>
      <c r="B323" s="30">
        <v>1082933510</v>
      </c>
      <c r="C323" s="30">
        <v>8</v>
      </c>
      <c r="D323" s="30" t="s">
        <v>852</v>
      </c>
      <c r="E323" s="30">
        <v>315</v>
      </c>
      <c r="F323" s="32">
        <v>45841</v>
      </c>
      <c r="G323" s="33">
        <v>46022</v>
      </c>
      <c r="H323" s="2">
        <v>51946333</v>
      </c>
      <c r="I323" s="2">
        <v>8755000</v>
      </c>
      <c r="J323" s="7">
        <f>8171333+I323+I323+I323+I323</f>
        <v>43191333</v>
      </c>
      <c r="K323" s="3">
        <f>H323-J323</f>
        <v>8755000</v>
      </c>
      <c r="L323" s="1">
        <f t="shared" si="16"/>
        <v>0.83146067307580696</v>
      </c>
      <c r="M323" s="34">
        <v>0</v>
      </c>
      <c r="N323" s="2"/>
      <c r="O323" s="31"/>
    </row>
    <row r="324" spans="1:15" ht="64" x14ac:dyDescent="0.2">
      <c r="A324" s="30" t="s">
        <v>806</v>
      </c>
      <c r="B324" s="30">
        <v>1100503946</v>
      </c>
      <c r="C324" s="30">
        <v>5</v>
      </c>
      <c r="D324" s="30" t="s">
        <v>853</v>
      </c>
      <c r="E324" s="30">
        <v>316</v>
      </c>
      <c r="F324" s="32">
        <v>45846</v>
      </c>
      <c r="G324" s="33">
        <v>46022</v>
      </c>
      <c r="H324" s="2">
        <v>40170000</v>
      </c>
      <c r="I324" s="2">
        <v>6695000</v>
      </c>
      <c r="J324" s="7">
        <f>5132833+I324+I324+I324+I324</f>
        <v>31912833</v>
      </c>
      <c r="K324" s="3">
        <f>H324-J324</f>
        <v>8257167</v>
      </c>
      <c r="L324" s="1">
        <f t="shared" si="16"/>
        <v>0.79444443614637783</v>
      </c>
      <c r="M324" s="34">
        <v>0</v>
      </c>
      <c r="N324" s="2"/>
      <c r="O324" s="31"/>
    </row>
    <row r="325" spans="1:15" ht="64" x14ac:dyDescent="0.2">
      <c r="A325" s="30" t="s">
        <v>807</v>
      </c>
      <c r="B325" s="30">
        <v>1019128877</v>
      </c>
      <c r="C325" s="30">
        <v>3</v>
      </c>
      <c r="D325" s="30" t="s">
        <v>854</v>
      </c>
      <c r="E325" s="30">
        <v>317</v>
      </c>
      <c r="F325" s="32">
        <v>45856</v>
      </c>
      <c r="G325" s="33">
        <v>46022</v>
      </c>
      <c r="H325" s="2">
        <v>37268833</v>
      </c>
      <c r="I325" s="2">
        <v>6695000</v>
      </c>
      <c r="J325" s="7">
        <f>2901167+I325+I325+I325+I325</f>
        <v>29681167</v>
      </c>
      <c r="K325" s="3">
        <f t="shared" si="15"/>
        <v>7587666</v>
      </c>
      <c r="L325" s="1">
        <f t="shared" si="16"/>
        <v>0.79640720169585133</v>
      </c>
      <c r="M325" s="34">
        <v>0</v>
      </c>
      <c r="N325" s="2"/>
      <c r="O325" s="31"/>
    </row>
    <row r="326" spans="1:15" ht="80" x14ac:dyDescent="0.2">
      <c r="A326" s="30" t="s">
        <v>808</v>
      </c>
      <c r="B326" s="30">
        <v>51583214</v>
      </c>
      <c r="C326" s="30">
        <v>6</v>
      </c>
      <c r="D326" s="30" t="s">
        <v>855</v>
      </c>
      <c r="E326" s="30">
        <v>318</v>
      </c>
      <c r="F326" s="32">
        <v>45845</v>
      </c>
      <c r="G326" s="33">
        <v>46022</v>
      </c>
      <c r="H326" s="2">
        <v>42779333</v>
      </c>
      <c r="I326" s="2">
        <v>7210000</v>
      </c>
      <c r="J326" s="7">
        <f>5768000+I326+I326+I326+I326</f>
        <v>34608000</v>
      </c>
      <c r="K326" s="3">
        <f t="shared" si="15"/>
        <v>8171333</v>
      </c>
      <c r="L326" s="1">
        <f t="shared" si="16"/>
        <v>0.80898877034852323</v>
      </c>
      <c r="M326" s="34">
        <v>0</v>
      </c>
      <c r="N326" s="2"/>
      <c r="O326" s="31"/>
    </row>
    <row r="327" spans="1:15" ht="48" x14ac:dyDescent="0.2">
      <c r="A327" s="30" t="s">
        <v>809</v>
      </c>
      <c r="B327" s="30">
        <v>1105059435</v>
      </c>
      <c r="C327" s="30">
        <v>7</v>
      </c>
      <c r="D327" s="30" t="s">
        <v>856</v>
      </c>
      <c r="E327" s="30">
        <v>319</v>
      </c>
      <c r="F327" s="32">
        <v>45845</v>
      </c>
      <c r="G327" s="33">
        <v>46022</v>
      </c>
      <c r="H327" s="2">
        <v>39500500</v>
      </c>
      <c r="I327" s="2">
        <v>6695000</v>
      </c>
      <c r="J327" s="7">
        <f>5356000+I327+I327+I327+I327</f>
        <v>32136000</v>
      </c>
      <c r="K327" s="3">
        <f t="shared" si="15"/>
        <v>7364500</v>
      </c>
      <c r="L327" s="1">
        <f t="shared" si="16"/>
        <v>0.81355932203389836</v>
      </c>
      <c r="M327" s="34">
        <v>0</v>
      </c>
      <c r="N327" s="2"/>
      <c r="O327" s="31"/>
    </row>
    <row r="328" spans="1:15" ht="50" customHeight="1" x14ac:dyDescent="0.2">
      <c r="A328" s="30" t="s">
        <v>810</v>
      </c>
      <c r="B328" s="30">
        <v>1073506407</v>
      </c>
      <c r="C328" s="30">
        <v>3</v>
      </c>
      <c r="D328" s="30" t="s">
        <v>857</v>
      </c>
      <c r="E328" s="30">
        <v>320</v>
      </c>
      <c r="F328" s="32">
        <v>45842</v>
      </c>
      <c r="G328" s="33">
        <v>46022</v>
      </c>
      <c r="H328" s="2">
        <v>51654500</v>
      </c>
      <c r="I328" s="2">
        <v>8755000</v>
      </c>
      <c r="J328" s="7">
        <f>7879500+I328+I328+I328+I328</f>
        <v>42899500</v>
      </c>
      <c r="K328" s="3">
        <f t="shared" si="15"/>
        <v>8755000</v>
      </c>
      <c r="L328" s="1">
        <f t="shared" si="16"/>
        <v>0.83050847457627119</v>
      </c>
      <c r="M328" s="34">
        <v>0</v>
      </c>
      <c r="N328" s="2"/>
      <c r="O328" s="31"/>
    </row>
    <row r="329" spans="1:15" ht="64" x14ac:dyDescent="0.2">
      <c r="A329" s="30" t="s">
        <v>811</v>
      </c>
      <c r="B329" s="30">
        <v>80195490</v>
      </c>
      <c r="C329" s="30">
        <v>3</v>
      </c>
      <c r="D329" s="30" t="s">
        <v>858</v>
      </c>
      <c r="E329" s="30">
        <v>321</v>
      </c>
      <c r="F329" s="32">
        <v>45848</v>
      </c>
      <c r="G329" s="33">
        <v>46022</v>
      </c>
      <c r="H329" s="2">
        <v>48616000</v>
      </c>
      <c r="I329" s="2">
        <v>8240000</v>
      </c>
      <c r="J329" s="7">
        <f>5768000+8240000+I329+I329</f>
        <v>30488000</v>
      </c>
      <c r="K329" s="3">
        <f t="shared" si="15"/>
        <v>18128000</v>
      </c>
      <c r="L329" s="1">
        <f t="shared" si="16"/>
        <v>0.6271186440677966</v>
      </c>
      <c r="M329" s="34">
        <v>0</v>
      </c>
      <c r="N329" s="2"/>
      <c r="O329" s="31"/>
    </row>
    <row r="330" spans="1:15" ht="48" x14ac:dyDescent="0.2">
      <c r="A330" s="30" t="s">
        <v>812</v>
      </c>
      <c r="B330" s="30">
        <v>1010179817</v>
      </c>
      <c r="C330" s="30">
        <v>7</v>
      </c>
      <c r="D330" s="30" t="s">
        <v>859</v>
      </c>
      <c r="E330" s="30">
        <v>322</v>
      </c>
      <c r="F330" s="32">
        <v>45848</v>
      </c>
      <c r="G330" s="33">
        <v>46022</v>
      </c>
      <c r="H330" s="2" t="s">
        <v>895</v>
      </c>
      <c r="I330" s="2">
        <v>8755000</v>
      </c>
      <c r="J330" s="7">
        <f>6128500+I330+I330+I330+I330</f>
        <v>41148500</v>
      </c>
      <c r="K330" s="3" t="e">
        <f t="shared" si="15"/>
        <v>#VALUE!</v>
      </c>
      <c r="L330" s="1" t="e">
        <f t="shared" si="16"/>
        <v>#VALUE!</v>
      </c>
      <c r="M330" s="34">
        <v>0</v>
      </c>
      <c r="N330" s="2"/>
      <c r="O330" s="31"/>
    </row>
    <row r="331" spans="1:15" ht="64" x14ac:dyDescent="0.2">
      <c r="A331" s="30" t="s">
        <v>813</v>
      </c>
      <c r="B331" s="30">
        <v>91535835</v>
      </c>
      <c r="C331" s="30">
        <v>0</v>
      </c>
      <c r="D331" s="30" t="s">
        <v>860</v>
      </c>
      <c r="E331" s="30">
        <v>323</v>
      </c>
      <c r="F331" s="32">
        <v>45856</v>
      </c>
      <c r="G331" s="33">
        <v>46022</v>
      </c>
      <c r="H331" s="2">
        <v>48736167</v>
      </c>
      <c r="I331" s="2">
        <v>8755000</v>
      </c>
      <c r="J331" s="7">
        <f>3793833+I331+I331+I331+I331</f>
        <v>38813833</v>
      </c>
      <c r="K331" s="3">
        <f t="shared" si="15"/>
        <v>9922334</v>
      </c>
      <c r="L331" s="1">
        <f t="shared" si="16"/>
        <v>0.79640717334213007</v>
      </c>
      <c r="M331" s="34">
        <v>0</v>
      </c>
      <c r="N331" s="2"/>
      <c r="O331" s="31"/>
    </row>
    <row r="332" spans="1:15" ht="48" x14ac:dyDescent="0.2">
      <c r="A332" s="30" t="s">
        <v>814</v>
      </c>
      <c r="B332" s="30">
        <v>80096917</v>
      </c>
      <c r="C332" s="30">
        <v>1</v>
      </c>
      <c r="D332" s="30" t="s">
        <v>861</v>
      </c>
      <c r="E332" s="30">
        <v>324</v>
      </c>
      <c r="F332" s="32">
        <v>45846</v>
      </c>
      <c r="G332" s="33">
        <v>46022</v>
      </c>
      <c r="H332" s="2">
        <v>40135667</v>
      </c>
      <c r="I332" s="2" t="s">
        <v>896</v>
      </c>
      <c r="J332" s="7">
        <f>5132833+I332+I332</f>
        <v>19552833</v>
      </c>
      <c r="K332" s="3">
        <f t="shared" si="15"/>
        <v>20582834</v>
      </c>
      <c r="L332" s="1">
        <f t="shared" si="16"/>
        <v>0.48716850775147202</v>
      </c>
      <c r="M332" s="34">
        <v>0</v>
      </c>
      <c r="N332" s="2"/>
      <c r="O332" s="31"/>
    </row>
    <row r="333" spans="1:15" ht="48" x14ac:dyDescent="0.2">
      <c r="A333" s="30" t="s">
        <v>815</v>
      </c>
      <c r="B333" s="30">
        <v>1022952696</v>
      </c>
      <c r="C333" s="30">
        <v>1</v>
      </c>
      <c r="D333" s="30" t="s">
        <v>862</v>
      </c>
      <c r="E333" s="30">
        <v>325</v>
      </c>
      <c r="F333" s="32">
        <v>45847</v>
      </c>
      <c r="G333" s="33">
        <v>46022</v>
      </c>
      <c r="H333" s="2">
        <v>41577667</v>
      </c>
      <c r="I333" s="2">
        <v>7210000</v>
      </c>
      <c r="J333" s="7">
        <f>5287333+I333+I333+I333+I333</f>
        <v>34127333</v>
      </c>
      <c r="K333" s="3">
        <f t="shared" si="15"/>
        <v>7450334</v>
      </c>
      <c r="L333" s="1">
        <f t="shared" si="16"/>
        <v>0.8208092339572588</v>
      </c>
      <c r="M333" s="34">
        <v>0</v>
      </c>
      <c r="N333" s="2"/>
      <c r="O333" s="31"/>
    </row>
    <row r="334" spans="1:15" ht="80" x14ac:dyDescent="0.2">
      <c r="A334" s="30" t="s">
        <v>816</v>
      </c>
      <c r="B334" s="30">
        <v>79987795</v>
      </c>
      <c r="C334" s="30">
        <v>1</v>
      </c>
      <c r="D334" s="30" t="s">
        <v>863</v>
      </c>
      <c r="E334" s="30">
        <v>326</v>
      </c>
      <c r="F334" s="32">
        <v>45848</v>
      </c>
      <c r="G334" s="33">
        <v>46022</v>
      </c>
      <c r="H334" s="2">
        <v>44547500</v>
      </c>
      <c r="I334" s="2">
        <v>7725000</v>
      </c>
      <c r="J334" s="7">
        <f>5407500+I334+I334+7725000+I334</f>
        <v>36307500</v>
      </c>
      <c r="K334" s="3">
        <f t="shared" si="15"/>
        <v>8240000</v>
      </c>
      <c r="L334" s="1">
        <f t="shared" si="16"/>
        <v>0.81502890173410403</v>
      </c>
      <c r="M334" s="34">
        <v>0</v>
      </c>
      <c r="N334" s="2"/>
      <c r="O334" s="31"/>
    </row>
    <row r="335" spans="1:15" ht="48" x14ac:dyDescent="0.2">
      <c r="A335" s="30" t="s">
        <v>817</v>
      </c>
      <c r="B335" s="30">
        <v>800058607</v>
      </c>
      <c r="C335" s="30">
        <v>2</v>
      </c>
      <c r="D335" s="30" t="s">
        <v>864</v>
      </c>
      <c r="E335" s="30">
        <v>327</v>
      </c>
      <c r="F335" s="32">
        <v>45867</v>
      </c>
      <c r="G335" s="33">
        <v>45958</v>
      </c>
      <c r="H335" s="2">
        <v>1016506173</v>
      </c>
      <c r="I335" s="2" t="s">
        <v>897</v>
      </c>
      <c r="J335" s="7"/>
      <c r="K335" s="3">
        <f t="shared" si="15"/>
        <v>1016506173</v>
      </c>
      <c r="L335" s="1">
        <f t="shared" si="16"/>
        <v>0</v>
      </c>
      <c r="M335" s="34">
        <v>0</v>
      </c>
      <c r="N335" s="2"/>
      <c r="O335" s="31"/>
    </row>
    <row r="336" spans="1:15" ht="80" x14ac:dyDescent="0.2">
      <c r="A336" s="30" t="s">
        <v>818</v>
      </c>
      <c r="B336" s="30">
        <v>1065005190</v>
      </c>
      <c r="C336" s="30">
        <v>1</v>
      </c>
      <c r="D336" s="30" t="s">
        <v>865</v>
      </c>
      <c r="E336" s="30">
        <v>328</v>
      </c>
      <c r="F336" s="32">
        <v>45848</v>
      </c>
      <c r="G336" s="33">
        <v>46022</v>
      </c>
      <c r="H336" s="2">
        <v>38161500</v>
      </c>
      <c r="I336" s="2">
        <v>6695000</v>
      </c>
      <c r="J336" s="7">
        <f>4686500+I336+I336+I336+I336</f>
        <v>31466500</v>
      </c>
      <c r="K336" s="3">
        <f t="shared" si="15"/>
        <v>6695000</v>
      </c>
      <c r="L336" s="1">
        <f t="shared" si="16"/>
        <v>0.82456140350877194</v>
      </c>
      <c r="M336" s="34">
        <v>0</v>
      </c>
      <c r="N336" s="2"/>
      <c r="O336" s="31"/>
    </row>
    <row r="337" spans="1:15" ht="48" x14ac:dyDescent="0.2">
      <c r="A337" s="30" t="s">
        <v>819</v>
      </c>
      <c r="B337" s="30" t="s">
        <v>846</v>
      </c>
      <c r="C337" s="30">
        <v>1</v>
      </c>
      <c r="D337" s="30" t="s">
        <v>866</v>
      </c>
      <c r="E337" s="30">
        <v>329</v>
      </c>
      <c r="F337" s="32">
        <v>45854</v>
      </c>
      <c r="G337" s="33">
        <v>46006</v>
      </c>
      <c r="H337" s="2">
        <v>54314678.289999999</v>
      </c>
      <c r="I337" s="2" t="s">
        <v>898</v>
      </c>
      <c r="J337" s="7">
        <f>10862936+11564797</f>
        <v>22427733</v>
      </c>
      <c r="K337" s="3">
        <f t="shared" si="15"/>
        <v>31886945.289999999</v>
      </c>
      <c r="L337" s="1">
        <f t="shared" si="16"/>
        <v>0.41292213644813613</v>
      </c>
      <c r="M337" s="34">
        <v>0</v>
      </c>
      <c r="N337" s="2"/>
      <c r="O337" s="31"/>
    </row>
    <row r="338" spans="1:15" ht="48" x14ac:dyDescent="0.2">
      <c r="A338" s="30" t="s">
        <v>820</v>
      </c>
      <c r="B338" s="30">
        <v>55222766</v>
      </c>
      <c r="C338" s="30">
        <v>6</v>
      </c>
      <c r="D338" s="30" t="s">
        <v>867</v>
      </c>
      <c r="E338" s="30">
        <v>330</v>
      </c>
      <c r="F338" s="32">
        <v>45848</v>
      </c>
      <c r="G338" s="33">
        <v>46022</v>
      </c>
      <c r="H338" s="2">
        <v>32290500</v>
      </c>
      <c r="I338" s="2">
        <v>5665000</v>
      </c>
      <c r="J338" s="7">
        <f>3965500+I338</f>
        <v>9630500</v>
      </c>
      <c r="K338" s="3">
        <f t="shared" si="15"/>
        <v>22660000</v>
      </c>
      <c r="L338" s="1">
        <f t="shared" si="16"/>
        <v>0.29824561403508776</v>
      </c>
      <c r="M338" s="34">
        <v>0</v>
      </c>
      <c r="N338" s="2"/>
      <c r="O338" s="31"/>
    </row>
    <row r="339" spans="1:15" ht="96" x14ac:dyDescent="0.2">
      <c r="A339" s="30" t="s">
        <v>821</v>
      </c>
      <c r="B339" s="30">
        <v>1083010281</v>
      </c>
      <c r="C339" s="30">
        <v>9</v>
      </c>
      <c r="D339" s="30" t="s">
        <v>868</v>
      </c>
      <c r="E339" s="30">
        <v>331</v>
      </c>
      <c r="F339" s="32">
        <v>45849</v>
      </c>
      <c r="G339" s="33">
        <v>46022</v>
      </c>
      <c r="H339" s="2">
        <v>26265000</v>
      </c>
      <c r="I339" s="2">
        <v>4635000</v>
      </c>
      <c r="J339" s="7">
        <f>3090000+I339+I339+I339+I339</f>
        <v>21630000</v>
      </c>
      <c r="K339" s="3">
        <f t="shared" si="15"/>
        <v>4635000</v>
      </c>
      <c r="L339" s="1">
        <f t="shared" si="16"/>
        <v>0.82352941176470584</v>
      </c>
      <c r="M339" s="34">
        <v>0</v>
      </c>
      <c r="N339" s="2"/>
      <c r="O339" s="31"/>
    </row>
    <row r="340" spans="1:15" ht="112" x14ac:dyDescent="0.2">
      <c r="A340" s="30" t="s">
        <v>822</v>
      </c>
      <c r="B340" s="30">
        <v>1024525897</v>
      </c>
      <c r="C340" s="30">
        <v>1</v>
      </c>
      <c r="D340" s="30" t="s">
        <v>869</v>
      </c>
      <c r="E340" s="30">
        <v>332</v>
      </c>
      <c r="F340" s="32">
        <v>45848</v>
      </c>
      <c r="G340" s="33">
        <v>46022</v>
      </c>
      <c r="H340" s="2">
        <v>12916200</v>
      </c>
      <c r="I340" s="2">
        <v>2266000</v>
      </c>
      <c r="J340" s="7">
        <f>1586200+I340+I340+I340+I340</f>
        <v>10650200</v>
      </c>
      <c r="K340" s="3">
        <f t="shared" si="15"/>
        <v>2266000</v>
      </c>
      <c r="L340" s="1">
        <f t="shared" si="16"/>
        <v>0.82456140350877194</v>
      </c>
      <c r="M340" s="34">
        <v>0</v>
      </c>
      <c r="N340" s="2"/>
      <c r="O340" s="31"/>
    </row>
    <row r="341" spans="1:15" ht="64" x14ac:dyDescent="0.2">
      <c r="A341" s="30" t="s">
        <v>823</v>
      </c>
      <c r="B341" s="30">
        <v>1014267307</v>
      </c>
      <c r="C341" s="30">
        <v>4</v>
      </c>
      <c r="D341" s="30" t="s">
        <v>870</v>
      </c>
      <c r="E341" s="30">
        <v>333</v>
      </c>
      <c r="F341" s="32">
        <v>45852</v>
      </c>
      <c r="G341" s="33">
        <v>46022</v>
      </c>
      <c r="H341" s="2">
        <v>18370000</v>
      </c>
      <c r="I341" s="2">
        <v>3300000</v>
      </c>
      <c r="J341" s="7">
        <f>1870000+I341+I341+I341+I341</f>
        <v>15070000</v>
      </c>
      <c r="K341" s="3">
        <f t="shared" si="15"/>
        <v>3300000</v>
      </c>
      <c r="L341" s="1">
        <f t="shared" si="16"/>
        <v>0.82035928143712578</v>
      </c>
      <c r="M341" s="34">
        <v>0</v>
      </c>
      <c r="N341" s="2"/>
      <c r="O341" s="31"/>
    </row>
    <row r="342" spans="1:15" ht="96" x14ac:dyDescent="0.2">
      <c r="A342" s="30" t="s">
        <v>824</v>
      </c>
      <c r="B342" s="30">
        <v>20904839</v>
      </c>
      <c r="C342" s="30">
        <v>5</v>
      </c>
      <c r="D342" s="30" t="s">
        <v>871</v>
      </c>
      <c r="E342" s="30">
        <v>334</v>
      </c>
      <c r="F342" s="32">
        <v>45848</v>
      </c>
      <c r="G342" s="33">
        <v>46022</v>
      </c>
      <c r="H342" s="2">
        <v>41097000</v>
      </c>
      <c r="I342" s="2" t="s">
        <v>896</v>
      </c>
      <c r="J342" s="7">
        <f>5047000+I342+I342+I342+I342</f>
        <v>33887000</v>
      </c>
      <c r="K342" s="3">
        <f t="shared" si="15"/>
        <v>7210000</v>
      </c>
      <c r="L342" s="1">
        <f t="shared" si="16"/>
        <v>0.82456140350877194</v>
      </c>
      <c r="M342" s="34">
        <v>0</v>
      </c>
      <c r="N342" s="2"/>
      <c r="O342" s="31"/>
    </row>
    <row r="343" spans="1:15" ht="64" x14ac:dyDescent="0.2">
      <c r="A343" s="30" t="s">
        <v>825</v>
      </c>
      <c r="B343" s="30">
        <v>1010196846</v>
      </c>
      <c r="C343" s="30">
        <v>2</v>
      </c>
      <c r="D343" s="30" t="s">
        <v>872</v>
      </c>
      <c r="E343" s="30">
        <v>335</v>
      </c>
      <c r="F343" s="32">
        <v>45852</v>
      </c>
      <c r="G343" s="33">
        <v>46022</v>
      </c>
      <c r="H343" s="2">
        <v>12840667</v>
      </c>
      <c r="I343" s="2">
        <v>2266000</v>
      </c>
      <c r="J343" s="7">
        <f>1284067+I343+I343+I343+I343</f>
        <v>10348067</v>
      </c>
      <c r="K343" s="3">
        <f t="shared" si="15"/>
        <v>2492600</v>
      </c>
      <c r="L343" s="1">
        <f t="shared" si="16"/>
        <v>0.8058823579803136</v>
      </c>
      <c r="M343" s="34">
        <v>0</v>
      </c>
      <c r="N343" s="2"/>
      <c r="O343" s="31"/>
    </row>
    <row r="344" spans="1:15" ht="64" x14ac:dyDescent="0.2">
      <c r="A344" s="30" t="s">
        <v>826</v>
      </c>
      <c r="B344" s="30">
        <v>30405204</v>
      </c>
      <c r="C344" s="30">
        <v>4</v>
      </c>
      <c r="D344" s="30" t="s">
        <v>873</v>
      </c>
      <c r="E344" s="30">
        <v>336</v>
      </c>
      <c r="F344" s="32">
        <v>45852</v>
      </c>
      <c r="G344" s="33">
        <v>46022</v>
      </c>
      <c r="H344" s="2">
        <v>37938333</v>
      </c>
      <c r="I344" s="2">
        <v>6695000</v>
      </c>
      <c r="J344" s="7">
        <f>3793833+I344+I344+I344+I344</f>
        <v>30573833</v>
      </c>
      <c r="K344" s="3">
        <f t="shared" si="15"/>
        <v>7364500</v>
      </c>
      <c r="L344" s="1">
        <f t="shared" si="16"/>
        <v>0.80588235123562235</v>
      </c>
      <c r="M344" s="34">
        <v>0</v>
      </c>
      <c r="N344" s="2"/>
      <c r="O344" s="31"/>
    </row>
    <row r="345" spans="1:15" ht="96" x14ac:dyDescent="0.2">
      <c r="A345" s="30" t="s">
        <v>827</v>
      </c>
      <c r="B345" s="30">
        <v>1010205434</v>
      </c>
      <c r="C345" s="30">
        <v>1</v>
      </c>
      <c r="D345" s="30" t="s">
        <v>874</v>
      </c>
      <c r="E345" s="30">
        <v>337</v>
      </c>
      <c r="F345" s="32">
        <v>45855</v>
      </c>
      <c r="G345" s="33">
        <v>46020</v>
      </c>
      <c r="H345" s="2">
        <v>45320000</v>
      </c>
      <c r="I345" s="2">
        <v>8240000</v>
      </c>
      <c r="J345" s="7">
        <f>3845333+I345+I345+I345+I345</f>
        <v>36805333</v>
      </c>
      <c r="K345" s="3">
        <f t="shared" si="15"/>
        <v>8514667</v>
      </c>
      <c r="L345" s="1">
        <f t="shared" si="16"/>
        <v>0.81212120476610772</v>
      </c>
      <c r="M345" s="34">
        <v>0</v>
      </c>
      <c r="N345" s="2"/>
      <c r="O345" s="31"/>
    </row>
    <row r="346" spans="1:15" ht="48" x14ac:dyDescent="0.2">
      <c r="A346" s="30" t="s">
        <v>828</v>
      </c>
      <c r="B346" s="30">
        <v>1020816603</v>
      </c>
      <c r="C346" s="30">
        <v>8</v>
      </c>
      <c r="D346" s="30" t="s">
        <v>875</v>
      </c>
      <c r="E346" s="30">
        <v>338</v>
      </c>
      <c r="F346" s="32">
        <v>45853</v>
      </c>
      <c r="G346" s="33">
        <v>46022</v>
      </c>
      <c r="H346" s="2">
        <v>23652233</v>
      </c>
      <c r="I346" s="2">
        <v>4274500</v>
      </c>
      <c r="J346" s="7">
        <f>2279733+I346+I346+I346+I346</f>
        <v>19377733</v>
      </c>
      <c r="K346" s="3">
        <f t="shared" si="15"/>
        <v>4274500</v>
      </c>
      <c r="L346" s="1">
        <f t="shared" si="16"/>
        <v>0.81927710588678881</v>
      </c>
      <c r="M346" s="34">
        <v>0</v>
      </c>
      <c r="N346" s="2"/>
      <c r="O346" s="31"/>
    </row>
    <row r="347" spans="1:15" ht="96" x14ac:dyDescent="0.2">
      <c r="A347" s="30" t="s">
        <v>829</v>
      </c>
      <c r="B347" s="30">
        <v>91078248</v>
      </c>
      <c r="C347" s="30">
        <v>6</v>
      </c>
      <c r="D347" s="30" t="s">
        <v>876</v>
      </c>
      <c r="E347" s="30">
        <v>339</v>
      </c>
      <c r="F347" s="32">
        <v>45866</v>
      </c>
      <c r="G347" s="33">
        <v>46022</v>
      </c>
      <c r="H347" s="2">
        <v>28325000</v>
      </c>
      <c r="I347" s="2">
        <v>5150000</v>
      </c>
      <c r="J347" s="7">
        <f>I347+515000+I347+I347</f>
        <v>15965000</v>
      </c>
      <c r="K347" s="3">
        <f t="shared" si="15"/>
        <v>12360000</v>
      </c>
      <c r="L347" s="1">
        <f t="shared" si="16"/>
        <v>0.56363636363636371</v>
      </c>
      <c r="M347" s="34">
        <v>0</v>
      </c>
      <c r="N347" s="2"/>
      <c r="O347" s="31"/>
    </row>
    <row r="348" spans="1:15" ht="64" x14ac:dyDescent="0.2">
      <c r="A348" s="30" t="s">
        <v>830</v>
      </c>
      <c r="B348" s="30">
        <v>1110587513</v>
      </c>
      <c r="C348" s="30">
        <v>6</v>
      </c>
      <c r="D348" s="30" t="s">
        <v>877</v>
      </c>
      <c r="E348" s="30">
        <v>340</v>
      </c>
      <c r="F348" s="32">
        <v>45856</v>
      </c>
      <c r="G348" s="33">
        <v>46022</v>
      </c>
      <c r="H348" s="2">
        <v>31346333</v>
      </c>
      <c r="I348" s="2">
        <v>5665000</v>
      </c>
      <c r="J348" s="7">
        <f>2454833+I348+I348+I348+I348</f>
        <v>25114833</v>
      </c>
      <c r="K348" s="3">
        <f t="shared" ref="K348:K391" si="17">H348-J348</f>
        <v>6231500</v>
      </c>
      <c r="L348" s="1">
        <f t="shared" ref="L348:L391" si="18">1-(K348/H348)</f>
        <v>0.80120481716314318</v>
      </c>
      <c r="M348" s="34">
        <v>0</v>
      </c>
      <c r="N348" s="2"/>
      <c r="O348" s="31"/>
    </row>
    <row r="349" spans="1:15" ht="80" x14ac:dyDescent="0.2">
      <c r="A349" s="30" t="s">
        <v>831</v>
      </c>
      <c r="B349" s="30">
        <v>1108929760</v>
      </c>
      <c r="C349" s="30">
        <v>0</v>
      </c>
      <c r="D349" s="30" t="s">
        <v>878</v>
      </c>
      <c r="E349" s="30">
        <v>341</v>
      </c>
      <c r="F349" s="32">
        <v>45854</v>
      </c>
      <c r="G349" s="33">
        <v>46022</v>
      </c>
      <c r="H349" s="2">
        <v>45320000</v>
      </c>
      <c r="I349" s="2">
        <v>8240000</v>
      </c>
      <c r="J349" s="7">
        <f>4120000+I349+I349+I349+I349</f>
        <v>37080000</v>
      </c>
      <c r="K349" s="3">
        <f t="shared" si="17"/>
        <v>8240000</v>
      </c>
      <c r="L349" s="1">
        <f t="shared" si="18"/>
        <v>0.81818181818181812</v>
      </c>
      <c r="M349" s="34">
        <v>0</v>
      </c>
      <c r="N349" s="2"/>
      <c r="O349" s="31"/>
    </row>
    <row r="350" spans="1:15" ht="64" x14ac:dyDescent="0.2">
      <c r="A350" s="30" t="s">
        <v>832</v>
      </c>
      <c r="B350" s="30">
        <v>80016002</v>
      </c>
      <c r="C350" s="30">
        <v>6</v>
      </c>
      <c r="D350" s="30" t="s">
        <v>879</v>
      </c>
      <c r="E350" s="30">
        <v>342</v>
      </c>
      <c r="F350" s="32">
        <v>45855</v>
      </c>
      <c r="G350" s="33">
        <v>46022</v>
      </c>
      <c r="H350" s="2">
        <v>47860667</v>
      </c>
      <c r="I350" s="2" t="s">
        <v>899</v>
      </c>
      <c r="J350" s="7">
        <f>4085667+I350+4961167</f>
        <v>17801834</v>
      </c>
      <c r="K350" s="3">
        <f t="shared" si="17"/>
        <v>30058833</v>
      </c>
      <c r="L350" s="1">
        <f t="shared" si="18"/>
        <v>0.37195123085100334</v>
      </c>
      <c r="M350" s="34">
        <v>0</v>
      </c>
      <c r="N350" s="2"/>
      <c r="O350" s="31"/>
    </row>
    <row r="351" spans="1:15" ht="80" x14ac:dyDescent="0.2">
      <c r="A351" s="30" t="s">
        <v>833</v>
      </c>
      <c r="B351" s="30">
        <v>1123621206</v>
      </c>
      <c r="C351" s="30">
        <v>2</v>
      </c>
      <c r="D351" s="30" t="s">
        <v>880</v>
      </c>
      <c r="E351" s="30">
        <v>343</v>
      </c>
      <c r="F351" s="32">
        <v>45866</v>
      </c>
      <c r="G351" s="33">
        <v>46022</v>
      </c>
      <c r="H351" s="2">
        <v>61559667</v>
      </c>
      <c r="I351" s="2">
        <v>11330000</v>
      </c>
      <c r="J351" s="7">
        <f>I351+1133000+I351+I351+I351</f>
        <v>46453000</v>
      </c>
      <c r="K351" s="3">
        <f t="shared" si="17"/>
        <v>15106667</v>
      </c>
      <c r="L351" s="1">
        <f t="shared" si="18"/>
        <v>0.7546012229078497</v>
      </c>
      <c r="M351" s="34">
        <v>0</v>
      </c>
      <c r="N351" s="2"/>
      <c r="O351" s="31"/>
    </row>
    <row r="352" spans="1:15" ht="64" x14ac:dyDescent="0.2">
      <c r="A352" s="30" t="s">
        <v>834</v>
      </c>
      <c r="B352" s="30">
        <v>1033792125</v>
      </c>
      <c r="C352" s="30">
        <v>0</v>
      </c>
      <c r="D352" s="30" t="s">
        <v>881</v>
      </c>
      <c r="E352" s="30">
        <v>344</v>
      </c>
      <c r="F352" s="32">
        <v>45866</v>
      </c>
      <c r="G352" s="33">
        <v>46022</v>
      </c>
      <c r="H352" s="2">
        <v>10099150</v>
      </c>
      <c r="I352" s="2">
        <v>10099150</v>
      </c>
      <c r="J352" s="7">
        <f>190500+1905500+I352+I352</f>
        <v>22294300</v>
      </c>
      <c r="K352" s="3">
        <f t="shared" si="17"/>
        <v>-12195150</v>
      </c>
      <c r="L352" s="1">
        <f t="shared" si="18"/>
        <v>2.2075422188996106</v>
      </c>
      <c r="M352" s="34">
        <v>0</v>
      </c>
      <c r="N352" s="2"/>
      <c r="O352" s="31"/>
    </row>
    <row r="353" spans="1:15" ht="80" x14ac:dyDescent="0.2">
      <c r="A353" s="30" t="s">
        <v>835</v>
      </c>
      <c r="B353" s="30">
        <v>52366619</v>
      </c>
      <c r="C353" s="30">
        <v>9</v>
      </c>
      <c r="D353" s="30" t="s">
        <v>882</v>
      </c>
      <c r="E353" s="30">
        <v>345</v>
      </c>
      <c r="F353" s="32">
        <v>45856</v>
      </c>
      <c r="G353" s="33">
        <v>46022</v>
      </c>
      <c r="H353" s="2">
        <v>61937333</v>
      </c>
      <c r="I353" s="2">
        <v>11330000</v>
      </c>
      <c r="J353" s="7">
        <f>4909667+I353+I353+I353+I353</f>
        <v>50229667</v>
      </c>
      <c r="K353" s="3">
        <f t="shared" si="17"/>
        <v>11707666</v>
      </c>
      <c r="L353" s="1">
        <f t="shared" si="18"/>
        <v>0.81097561950237673</v>
      </c>
      <c r="M353" s="34">
        <v>0</v>
      </c>
      <c r="N353" s="2"/>
      <c r="O353" s="31"/>
    </row>
    <row r="354" spans="1:15" ht="64" x14ac:dyDescent="0.2">
      <c r="A354" s="30" t="s">
        <v>476</v>
      </c>
      <c r="B354" s="30">
        <v>15435023</v>
      </c>
      <c r="C354" s="30">
        <v>1</v>
      </c>
      <c r="D354" s="30" t="s">
        <v>883</v>
      </c>
      <c r="E354" s="30">
        <v>346</v>
      </c>
      <c r="F354" s="32">
        <v>45863</v>
      </c>
      <c r="G354" s="33">
        <v>46022</v>
      </c>
      <c r="H354" s="2">
        <v>33578000</v>
      </c>
      <c r="I354" s="2" t="s">
        <v>900</v>
      </c>
      <c r="J354" s="7">
        <f>I354+I354+I354+I354</f>
        <v>24720000</v>
      </c>
      <c r="K354" s="3">
        <f t="shared" si="17"/>
        <v>8858000</v>
      </c>
      <c r="L354" s="1">
        <f t="shared" si="18"/>
        <v>0.73619631901840488</v>
      </c>
      <c r="M354" s="34">
        <v>0</v>
      </c>
      <c r="N354" s="2"/>
      <c r="O354" s="31"/>
    </row>
    <row r="355" spans="1:15" ht="80" x14ac:dyDescent="0.2">
      <c r="A355" s="30" t="s">
        <v>836</v>
      </c>
      <c r="B355" s="30">
        <v>1010220150</v>
      </c>
      <c r="C355" s="30">
        <v>8</v>
      </c>
      <c r="D355" s="30" t="s">
        <v>884</v>
      </c>
      <c r="E355" s="30">
        <v>347</v>
      </c>
      <c r="F355" s="32">
        <v>45856</v>
      </c>
      <c r="G355" s="33">
        <v>46022</v>
      </c>
      <c r="H355" s="2">
        <v>50926633</v>
      </c>
      <c r="I355" s="2">
        <v>9373000</v>
      </c>
      <c r="J355" s="7">
        <f>4061633+I355+I355+I355+I355</f>
        <v>41553633</v>
      </c>
      <c r="K355" s="3">
        <f t="shared" si="17"/>
        <v>9373000</v>
      </c>
      <c r="L355" s="1">
        <f t="shared" si="18"/>
        <v>0.81595091904073058</v>
      </c>
      <c r="M355" s="34">
        <v>0</v>
      </c>
      <c r="N355" s="2"/>
      <c r="O355" s="31"/>
    </row>
    <row r="356" spans="1:15" ht="48" x14ac:dyDescent="0.2">
      <c r="A356" s="30" t="s">
        <v>837</v>
      </c>
      <c r="B356" s="30">
        <v>80830923</v>
      </c>
      <c r="C356" s="30">
        <v>5</v>
      </c>
      <c r="D356" s="30" t="s">
        <v>885</v>
      </c>
      <c r="E356" s="30">
        <v>348</v>
      </c>
      <c r="F356" s="32">
        <v>45867</v>
      </c>
      <c r="G356" s="33">
        <v>46022</v>
      </c>
      <c r="H356" s="2">
        <v>47489867</v>
      </c>
      <c r="I356" s="2">
        <v>9373000</v>
      </c>
      <c r="J356" s="7">
        <f>624867+I356+I356+I356+I356</f>
        <v>38116867</v>
      </c>
      <c r="K356" s="3">
        <f t="shared" si="17"/>
        <v>9373000</v>
      </c>
      <c r="L356" s="1">
        <f t="shared" si="18"/>
        <v>0.80263158033270554</v>
      </c>
      <c r="M356" s="34">
        <v>0</v>
      </c>
      <c r="N356" s="2"/>
      <c r="O356" s="31"/>
    </row>
    <row r="357" spans="1:15" ht="80" x14ac:dyDescent="0.2">
      <c r="A357" s="30" t="s">
        <v>838</v>
      </c>
      <c r="B357" s="30">
        <v>1086018511</v>
      </c>
      <c r="C357" s="30">
        <v>5</v>
      </c>
      <c r="D357" s="30" t="s">
        <v>886</v>
      </c>
      <c r="E357" s="30">
        <v>349</v>
      </c>
      <c r="F357" s="32">
        <v>45860</v>
      </c>
      <c r="G357" s="33">
        <v>46022</v>
      </c>
      <c r="H357" s="2">
        <v>35483500</v>
      </c>
      <c r="I357" s="2">
        <v>6695000</v>
      </c>
      <c r="J357" s="7">
        <f>2008500+I357+I357+I357+I357</f>
        <v>28788500</v>
      </c>
      <c r="K357" s="3">
        <f t="shared" si="17"/>
        <v>6695000</v>
      </c>
      <c r="L357" s="1">
        <f t="shared" si="18"/>
        <v>0.81132075471698117</v>
      </c>
      <c r="M357" s="34">
        <v>0</v>
      </c>
      <c r="N357" s="2"/>
      <c r="O357" s="31"/>
    </row>
    <row r="358" spans="1:15" ht="67" customHeight="1" x14ac:dyDescent="0.2">
      <c r="A358" s="30" t="s">
        <v>839</v>
      </c>
      <c r="B358" s="30">
        <v>15443887</v>
      </c>
      <c r="C358" s="30">
        <v>1</v>
      </c>
      <c r="D358" s="30" t="s">
        <v>887</v>
      </c>
      <c r="E358" s="30">
        <v>350</v>
      </c>
      <c r="F358" s="32">
        <v>45861</v>
      </c>
      <c r="G358" s="33">
        <v>46022</v>
      </c>
      <c r="H358" s="2">
        <v>38213000</v>
      </c>
      <c r="I358" s="2">
        <v>7210000</v>
      </c>
      <c r="J358" s="7">
        <f>I358+1922667+I358+I358+I358</f>
        <v>30762667</v>
      </c>
      <c r="K358" s="3">
        <f t="shared" si="17"/>
        <v>7450333</v>
      </c>
      <c r="L358" s="1">
        <f t="shared" si="18"/>
        <v>0.8050314552639154</v>
      </c>
      <c r="M358" s="34">
        <v>0</v>
      </c>
      <c r="N358" s="2"/>
      <c r="O358" s="31"/>
    </row>
    <row r="359" spans="1:15" ht="128" x14ac:dyDescent="0.2">
      <c r="A359" s="30" t="s">
        <v>840</v>
      </c>
      <c r="B359" s="30">
        <v>1085280524</v>
      </c>
      <c r="C359" s="30">
        <v>8</v>
      </c>
      <c r="D359" s="30" t="s">
        <v>888</v>
      </c>
      <c r="E359" s="30">
        <v>351</v>
      </c>
      <c r="F359" s="32">
        <v>45859</v>
      </c>
      <c r="G359" s="33">
        <v>46022</v>
      </c>
      <c r="H359" s="2">
        <v>49989333</v>
      </c>
      <c r="I359" s="2">
        <v>9373000</v>
      </c>
      <c r="J359" s="7">
        <f>3124333+I359+I359+I359+I359</f>
        <v>40616333</v>
      </c>
      <c r="K359" s="3">
        <f t="shared" si="17"/>
        <v>9373000</v>
      </c>
      <c r="L359" s="1">
        <f t="shared" si="18"/>
        <v>0.81249999874973322</v>
      </c>
      <c r="M359" s="34">
        <v>0</v>
      </c>
      <c r="N359" s="2"/>
      <c r="O359" s="31"/>
    </row>
    <row r="360" spans="1:15" ht="48" x14ac:dyDescent="0.2">
      <c r="A360" s="30" t="s">
        <v>841</v>
      </c>
      <c r="B360" s="30">
        <v>59835394</v>
      </c>
      <c r="C360" s="30">
        <v>5</v>
      </c>
      <c r="D360" s="30" t="s">
        <v>889</v>
      </c>
      <c r="E360" s="30">
        <v>352</v>
      </c>
      <c r="F360" s="32">
        <v>45881</v>
      </c>
      <c r="G360" s="33">
        <v>46022</v>
      </c>
      <c r="H360" s="2">
        <v>35706667</v>
      </c>
      <c r="I360" s="2">
        <v>6695000</v>
      </c>
      <c r="J360" s="7">
        <f>4240167+I360+I360+I360</f>
        <v>24325167</v>
      </c>
      <c r="K360" s="3">
        <f t="shared" si="17"/>
        <v>11381500</v>
      </c>
      <c r="L360" s="1">
        <f t="shared" si="18"/>
        <v>0.68125000297563476</v>
      </c>
      <c r="M360" s="34">
        <v>0</v>
      </c>
      <c r="N360" s="2"/>
      <c r="O360" s="31"/>
    </row>
    <row r="361" spans="1:15" ht="64" x14ac:dyDescent="0.2">
      <c r="A361" s="30" t="s">
        <v>303</v>
      </c>
      <c r="B361" s="30">
        <v>1069715425</v>
      </c>
      <c r="C361" s="30">
        <v>8</v>
      </c>
      <c r="D361" s="30" t="s">
        <v>890</v>
      </c>
      <c r="E361" s="30">
        <v>353</v>
      </c>
      <c r="F361" s="32">
        <v>45859</v>
      </c>
      <c r="G361" s="33">
        <v>46022</v>
      </c>
      <c r="H361" s="2">
        <v>19776000</v>
      </c>
      <c r="I361" s="2">
        <v>3708000</v>
      </c>
      <c r="J361" s="7">
        <f>1236000+I361+I361+I361+I361</f>
        <v>16068000</v>
      </c>
      <c r="K361" s="3">
        <f t="shared" si="17"/>
        <v>3708000</v>
      </c>
      <c r="L361" s="1">
        <f t="shared" si="18"/>
        <v>0.8125</v>
      </c>
      <c r="M361" s="34">
        <v>0</v>
      </c>
      <c r="N361" s="2"/>
      <c r="O361" s="31"/>
    </row>
    <row r="362" spans="1:15" ht="80" x14ac:dyDescent="0.2">
      <c r="A362" s="30" t="s">
        <v>842</v>
      </c>
      <c r="B362" s="30">
        <v>84079959</v>
      </c>
      <c r="C362" s="30">
        <v>3</v>
      </c>
      <c r="D362" s="30" t="s">
        <v>891</v>
      </c>
      <c r="E362" s="30">
        <v>354</v>
      </c>
      <c r="F362" s="32">
        <v>45873</v>
      </c>
      <c r="G362" s="33">
        <v>46022</v>
      </c>
      <c r="H362" s="2">
        <v>49676900</v>
      </c>
      <c r="I362" s="2">
        <v>9373000</v>
      </c>
      <c r="J362" s="7">
        <f>8435700+I362+I362+I362</f>
        <v>36554700</v>
      </c>
      <c r="K362" s="3">
        <f t="shared" si="17"/>
        <v>13122200</v>
      </c>
      <c r="L362" s="1">
        <f t="shared" si="18"/>
        <v>0.73584905660377364</v>
      </c>
      <c r="M362" s="34">
        <v>0</v>
      </c>
      <c r="N362" s="2"/>
      <c r="O362" s="31"/>
    </row>
    <row r="363" spans="1:15" ht="80" x14ac:dyDescent="0.2">
      <c r="A363" s="30" t="s">
        <v>843</v>
      </c>
      <c r="B363" s="30">
        <v>1000472948</v>
      </c>
      <c r="C363" s="30">
        <v>2</v>
      </c>
      <c r="D363" s="30" t="s">
        <v>892</v>
      </c>
      <c r="E363" s="30">
        <v>355</v>
      </c>
      <c r="F363" s="32">
        <v>45867</v>
      </c>
      <c r="G363" s="33">
        <v>46022</v>
      </c>
      <c r="H363" s="2">
        <v>19652400</v>
      </c>
      <c r="I363" s="2" t="s">
        <v>901</v>
      </c>
      <c r="J363" s="7">
        <f>247200+I363+I363+I363+I363</f>
        <v>15079200</v>
      </c>
      <c r="K363" s="3">
        <f t="shared" si="17"/>
        <v>4573200</v>
      </c>
      <c r="L363" s="1">
        <f t="shared" si="18"/>
        <v>0.76729559748427678</v>
      </c>
      <c r="M363" s="34">
        <v>0</v>
      </c>
      <c r="N363" s="2"/>
      <c r="O363" s="31"/>
    </row>
    <row r="364" spans="1:15" ht="117" customHeight="1" x14ac:dyDescent="0.2">
      <c r="A364" s="30" t="s">
        <v>844</v>
      </c>
      <c r="B364" s="30">
        <v>12754270</v>
      </c>
      <c r="C364" s="30">
        <v>1</v>
      </c>
      <c r="D364" s="30" t="s">
        <v>893</v>
      </c>
      <c r="E364" s="30">
        <v>356</v>
      </c>
      <c r="F364" s="30"/>
      <c r="G364" s="33">
        <v>45961</v>
      </c>
      <c r="H364" s="2">
        <v>9900000</v>
      </c>
      <c r="I364" s="2">
        <v>3300000</v>
      </c>
      <c r="J364" s="7"/>
      <c r="K364" s="3">
        <f t="shared" si="17"/>
        <v>9900000</v>
      </c>
      <c r="L364" s="1">
        <f t="shared" si="18"/>
        <v>0</v>
      </c>
      <c r="M364" s="34">
        <v>0</v>
      </c>
      <c r="N364" s="2"/>
      <c r="O364" s="31"/>
    </row>
    <row r="365" spans="1:15" ht="96" x14ac:dyDescent="0.2">
      <c r="A365" s="30" t="s">
        <v>845</v>
      </c>
      <c r="B365" s="30">
        <v>79589809</v>
      </c>
      <c r="C365" s="30">
        <v>7</v>
      </c>
      <c r="D365" s="30" t="s">
        <v>894</v>
      </c>
      <c r="E365" s="30">
        <v>357</v>
      </c>
      <c r="F365" s="32">
        <v>45862</v>
      </c>
      <c r="G365" s="33">
        <v>46022</v>
      </c>
      <c r="H365" s="2">
        <v>49052033</v>
      </c>
      <c r="I365" s="2">
        <v>9373000</v>
      </c>
      <c r="J365" s="7">
        <f>2187033+I365+I365+I365+I365</f>
        <v>39679033</v>
      </c>
      <c r="K365" s="3">
        <f t="shared" si="17"/>
        <v>9373000</v>
      </c>
      <c r="L365" s="1">
        <f t="shared" si="18"/>
        <v>0.80891719615372515</v>
      </c>
      <c r="M365" s="34">
        <v>0</v>
      </c>
      <c r="N365" s="2"/>
      <c r="O365" s="31"/>
    </row>
    <row r="366" spans="1:15" ht="32" x14ac:dyDescent="0.2">
      <c r="A366" s="30" t="s">
        <v>937</v>
      </c>
      <c r="B366" s="30" t="s">
        <v>933</v>
      </c>
      <c r="C366" s="30">
        <v>901824738</v>
      </c>
      <c r="D366" s="30" t="s">
        <v>907</v>
      </c>
      <c r="E366" s="30">
        <v>358</v>
      </c>
      <c r="F366" s="32">
        <v>45866</v>
      </c>
      <c r="G366" s="32">
        <v>45896</v>
      </c>
      <c r="H366" s="43">
        <v>9519900</v>
      </c>
      <c r="I366" s="30" t="s">
        <v>897</v>
      </c>
      <c r="J366" s="27">
        <f>H366</f>
        <v>9519900</v>
      </c>
      <c r="K366" s="3">
        <f t="shared" si="17"/>
        <v>0</v>
      </c>
      <c r="L366" s="1">
        <f t="shared" si="18"/>
        <v>1</v>
      </c>
      <c r="M366" s="34">
        <v>1</v>
      </c>
      <c r="N366" s="2"/>
      <c r="O366" s="31"/>
    </row>
    <row r="367" spans="1:15" ht="48" x14ac:dyDescent="0.2">
      <c r="A367" s="30" t="s">
        <v>938</v>
      </c>
      <c r="B367" s="30" t="s">
        <v>934</v>
      </c>
      <c r="C367" s="30">
        <v>37444824</v>
      </c>
      <c r="D367" s="30" t="s">
        <v>908</v>
      </c>
      <c r="E367" s="30">
        <v>359</v>
      </c>
      <c r="F367" s="32">
        <v>45866</v>
      </c>
      <c r="G367" s="32">
        <v>46022</v>
      </c>
      <c r="H367" s="43">
        <v>37492000</v>
      </c>
      <c r="I367" s="43">
        <v>7210000</v>
      </c>
      <c r="J367" s="7">
        <f>I367+I367+I367+I367</f>
        <v>28840000</v>
      </c>
      <c r="K367" s="3">
        <f t="shared" si="17"/>
        <v>8652000</v>
      </c>
      <c r="L367" s="1">
        <f t="shared" si="18"/>
        <v>0.76923076923076916</v>
      </c>
      <c r="M367" s="34">
        <v>0</v>
      </c>
      <c r="N367" s="2"/>
      <c r="O367" s="31"/>
    </row>
    <row r="368" spans="1:15" ht="64" x14ac:dyDescent="0.2">
      <c r="A368" s="30" t="s">
        <v>939</v>
      </c>
      <c r="B368" s="30" t="s">
        <v>933</v>
      </c>
      <c r="C368" s="30" t="s">
        <v>935</v>
      </c>
      <c r="D368" s="30" t="s">
        <v>909</v>
      </c>
      <c r="E368" s="30">
        <v>360</v>
      </c>
      <c r="F368" s="32">
        <v>45874</v>
      </c>
      <c r="G368" s="32">
        <v>45918</v>
      </c>
      <c r="H368" s="43">
        <v>129211116</v>
      </c>
      <c r="I368" s="30" t="s">
        <v>897</v>
      </c>
      <c r="J368" s="27">
        <f>H368</f>
        <v>129211116</v>
      </c>
      <c r="K368" s="3">
        <f t="shared" si="17"/>
        <v>0</v>
      </c>
      <c r="L368" s="1">
        <f t="shared" si="18"/>
        <v>1</v>
      </c>
      <c r="M368" s="34">
        <v>3</v>
      </c>
      <c r="N368" s="2"/>
      <c r="O368" s="31"/>
    </row>
    <row r="369" spans="1:15" ht="48" x14ac:dyDescent="0.2">
      <c r="A369" s="30" t="s">
        <v>940</v>
      </c>
      <c r="B369" s="30" t="s">
        <v>934</v>
      </c>
      <c r="C369" s="30">
        <v>1070588972</v>
      </c>
      <c r="D369" s="30" t="s">
        <v>910</v>
      </c>
      <c r="E369" s="30">
        <v>361</v>
      </c>
      <c r="F369" s="30"/>
      <c r="G369" s="30"/>
      <c r="H369" s="43">
        <v>46865000</v>
      </c>
      <c r="I369" s="43">
        <v>9373000</v>
      </c>
      <c r="J369" s="7"/>
      <c r="K369" s="3">
        <f t="shared" si="17"/>
        <v>46865000</v>
      </c>
      <c r="L369" s="1">
        <f t="shared" si="18"/>
        <v>0</v>
      </c>
      <c r="M369" s="34">
        <v>0</v>
      </c>
      <c r="N369" s="2"/>
      <c r="O369" s="31"/>
    </row>
    <row r="370" spans="1:15" ht="80" x14ac:dyDescent="0.2">
      <c r="A370" s="30" t="s">
        <v>941</v>
      </c>
      <c r="B370" s="30" t="s">
        <v>934</v>
      </c>
      <c r="C370" s="30">
        <v>52802099</v>
      </c>
      <c r="D370" s="30" t="s">
        <v>911</v>
      </c>
      <c r="E370" s="30">
        <v>362</v>
      </c>
      <c r="F370" s="32">
        <v>45873</v>
      </c>
      <c r="G370" s="32">
        <v>46022</v>
      </c>
      <c r="H370" s="43">
        <v>16170000</v>
      </c>
      <c r="I370" s="43">
        <v>3300000</v>
      </c>
      <c r="J370" s="7">
        <f>2970000+I370+I370+I370</f>
        <v>12870000</v>
      </c>
      <c r="K370" s="3">
        <f t="shared" si="17"/>
        <v>3300000</v>
      </c>
      <c r="L370" s="1">
        <f t="shared" si="18"/>
        <v>0.79591836734693877</v>
      </c>
      <c r="M370" s="34">
        <v>0</v>
      </c>
      <c r="N370" s="2"/>
      <c r="O370" s="31"/>
    </row>
    <row r="371" spans="1:15" ht="48" x14ac:dyDescent="0.2">
      <c r="A371" s="30" t="s">
        <v>942</v>
      </c>
      <c r="B371" s="30" t="s">
        <v>934</v>
      </c>
      <c r="C371" s="30">
        <v>1018505246</v>
      </c>
      <c r="D371" s="30" t="s">
        <v>912</v>
      </c>
      <c r="E371" s="30">
        <v>363</v>
      </c>
      <c r="F371" s="32">
        <v>45873</v>
      </c>
      <c r="G371" s="32">
        <v>46022</v>
      </c>
      <c r="H371" s="43">
        <v>25235000</v>
      </c>
      <c r="I371" s="43">
        <v>5150000</v>
      </c>
      <c r="J371" s="7">
        <f>4635000+I371+I371+I371+I371+I371</f>
        <v>30385000</v>
      </c>
      <c r="K371" s="3">
        <f t="shared" si="17"/>
        <v>-5150000</v>
      </c>
      <c r="L371" s="1">
        <f t="shared" si="18"/>
        <v>1.2040816326530612</v>
      </c>
      <c r="M371" s="34">
        <v>0</v>
      </c>
      <c r="N371" s="2"/>
      <c r="O371" s="31"/>
    </row>
    <row r="372" spans="1:15" ht="48" x14ac:dyDescent="0.2">
      <c r="A372" s="30" t="s">
        <v>943</v>
      </c>
      <c r="B372" s="30" t="s">
        <v>934</v>
      </c>
      <c r="C372" s="30">
        <v>1032478613</v>
      </c>
      <c r="D372" s="30" t="s">
        <v>913</v>
      </c>
      <c r="E372" s="30">
        <v>364</v>
      </c>
      <c r="F372" s="32">
        <v>45884</v>
      </c>
      <c r="G372" s="32">
        <v>46022</v>
      </c>
      <c r="H372" s="43">
        <v>22093500</v>
      </c>
      <c r="I372" s="49">
        <v>4635000</v>
      </c>
      <c r="J372" s="7">
        <f>2472000+I372+I372+I372</f>
        <v>16377000</v>
      </c>
      <c r="K372" s="3">
        <f>H372-J372</f>
        <v>5716500</v>
      </c>
      <c r="L372" s="1">
        <f t="shared" si="18"/>
        <v>0.74125874125874125</v>
      </c>
      <c r="M372" s="34">
        <v>0</v>
      </c>
      <c r="N372" s="2"/>
      <c r="O372" s="31"/>
    </row>
    <row r="373" spans="1:15" ht="64" x14ac:dyDescent="0.2">
      <c r="A373" s="30" t="s">
        <v>944</v>
      </c>
      <c r="B373" s="30" t="s">
        <v>934</v>
      </c>
      <c r="C373" s="30">
        <v>1010205020</v>
      </c>
      <c r="D373" s="30" t="s">
        <v>914</v>
      </c>
      <c r="E373" s="30">
        <v>365</v>
      </c>
      <c r="F373" s="32">
        <v>45877</v>
      </c>
      <c r="G373" s="32">
        <v>46022</v>
      </c>
      <c r="H373" s="43">
        <v>24548333</v>
      </c>
      <c r="I373" s="43">
        <v>5150000</v>
      </c>
      <c r="J373" s="7">
        <f>3948333+I373+I373+I373</f>
        <v>19398333</v>
      </c>
      <c r="K373" s="3">
        <f t="shared" si="17"/>
        <v>5150000</v>
      </c>
      <c r="L373" s="1">
        <f t="shared" si="18"/>
        <v>0.79020978736112146</v>
      </c>
      <c r="M373" s="34">
        <v>0</v>
      </c>
      <c r="N373" s="2"/>
      <c r="O373" s="31"/>
    </row>
    <row r="374" spans="1:15" ht="48" x14ac:dyDescent="0.2">
      <c r="A374" s="30" t="s">
        <v>945</v>
      </c>
      <c r="B374" s="30" t="s">
        <v>934</v>
      </c>
      <c r="C374" s="30">
        <v>1110594162</v>
      </c>
      <c r="D374" s="30" t="s">
        <v>915</v>
      </c>
      <c r="E374" s="30">
        <v>366</v>
      </c>
      <c r="F374" s="32">
        <v>45877</v>
      </c>
      <c r="G374" s="32">
        <v>46022</v>
      </c>
      <c r="H374" s="43">
        <v>19147700</v>
      </c>
      <c r="I374" s="43">
        <v>4017000</v>
      </c>
      <c r="J374" s="7">
        <f>3079700+I374+I374+I374</f>
        <v>15130700</v>
      </c>
      <c r="K374" s="3">
        <f t="shared" si="17"/>
        <v>4017000</v>
      </c>
      <c r="L374" s="1">
        <f t="shared" si="18"/>
        <v>0.79020979020979021</v>
      </c>
      <c r="M374" s="34">
        <v>0</v>
      </c>
      <c r="N374" s="2"/>
      <c r="O374" s="31"/>
    </row>
    <row r="375" spans="1:15" ht="64" x14ac:dyDescent="0.2">
      <c r="A375" s="30" t="s">
        <v>946</v>
      </c>
      <c r="B375" s="30" t="s">
        <v>934</v>
      </c>
      <c r="C375" s="30">
        <v>1020824974</v>
      </c>
      <c r="D375" s="30" t="s">
        <v>916</v>
      </c>
      <c r="E375" s="30">
        <v>367</v>
      </c>
      <c r="F375" s="32">
        <v>45877</v>
      </c>
      <c r="G375" s="32">
        <v>46022</v>
      </c>
      <c r="H375" s="43">
        <v>27003167</v>
      </c>
      <c r="I375" s="43">
        <v>5665000</v>
      </c>
      <c r="J375" s="7">
        <f>4343167+I375+I375+I375</f>
        <v>21338167</v>
      </c>
      <c r="K375" s="3">
        <f t="shared" si="17"/>
        <v>5665000</v>
      </c>
      <c r="L375" s="1">
        <f t="shared" si="18"/>
        <v>0.790209792799489</v>
      </c>
      <c r="M375" s="34">
        <v>0</v>
      </c>
      <c r="N375" s="2"/>
      <c r="O375" s="31"/>
    </row>
    <row r="376" spans="1:15" ht="64" x14ac:dyDescent="0.2">
      <c r="A376" s="30" t="s">
        <v>947</v>
      </c>
      <c r="B376" s="30" t="s">
        <v>934</v>
      </c>
      <c r="C376" s="30">
        <v>53890619</v>
      </c>
      <c r="D376" s="30" t="s">
        <v>917</v>
      </c>
      <c r="E376" s="30">
        <v>368</v>
      </c>
      <c r="F376" s="32">
        <v>45877</v>
      </c>
      <c r="G376" s="32">
        <v>46022</v>
      </c>
      <c r="H376" s="43">
        <v>10801267</v>
      </c>
      <c r="I376" s="49">
        <v>2266000</v>
      </c>
      <c r="J376" s="7">
        <f>1737267+I376+I376+I376</f>
        <v>8535267</v>
      </c>
      <c r="K376" s="3">
        <f t="shared" si="17"/>
        <v>2266000</v>
      </c>
      <c r="L376" s="1">
        <f t="shared" si="18"/>
        <v>0.79020979668403712</v>
      </c>
      <c r="M376" s="34">
        <v>0</v>
      </c>
      <c r="N376" s="2"/>
      <c r="O376" s="31"/>
    </row>
    <row r="377" spans="1:15" ht="128" x14ac:dyDescent="0.2">
      <c r="A377" s="30" t="s">
        <v>290</v>
      </c>
      <c r="B377" s="30" t="s">
        <v>934</v>
      </c>
      <c r="C377" s="30">
        <v>1010233403</v>
      </c>
      <c r="D377" s="30" t="s">
        <v>918</v>
      </c>
      <c r="E377" s="30">
        <v>369</v>
      </c>
      <c r="F377" s="32">
        <v>45888</v>
      </c>
      <c r="G377" s="32">
        <v>46022</v>
      </c>
      <c r="H377" s="43">
        <v>38453333</v>
      </c>
      <c r="I377" s="43">
        <v>8240000</v>
      </c>
      <c r="J377" s="7">
        <f>3296000+I377+I377+I377</f>
        <v>28016000</v>
      </c>
      <c r="K377" s="3">
        <f t="shared" si="17"/>
        <v>10437333</v>
      </c>
      <c r="L377" s="1">
        <f t="shared" si="18"/>
        <v>0.72857143488706166</v>
      </c>
      <c r="M377" s="34">
        <v>0</v>
      </c>
      <c r="N377" s="2"/>
      <c r="O377" s="31"/>
    </row>
    <row r="378" spans="1:15" ht="48" x14ac:dyDescent="0.2">
      <c r="A378" s="30" t="s">
        <v>948</v>
      </c>
      <c r="B378" s="30" t="s">
        <v>934</v>
      </c>
      <c r="C378" s="30">
        <v>1018420455</v>
      </c>
      <c r="D378" s="30" t="s">
        <v>919</v>
      </c>
      <c r="E378" s="30">
        <v>370</v>
      </c>
      <c r="F378" s="30"/>
      <c r="G378" s="30"/>
      <c r="H378" s="43">
        <v>43740667</v>
      </c>
      <c r="I378" s="49">
        <v>9373000</v>
      </c>
      <c r="J378" s="7"/>
      <c r="K378" s="3">
        <f t="shared" si="17"/>
        <v>43740667</v>
      </c>
      <c r="L378" s="1">
        <f t="shared" si="18"/>
        <v>0</v>
      </c>
      <c r="M378" s="34">
        <v>0</v>
      </c>
      <c r="N378" s="2"/>
      <c r="O378" s="31"/>
    </row>
    <row r="379" spans="1:15" ht="48" x14ac:dyDescent="0.2">
      <c r="A379" s="30" t="s">
        <v>940</v>
      </c>
      <c r="B379" s="30" t="s">
        <v>934</v>
      </c>
      <c r="C379" s="30">
        <v>1070588972</v>
      </c>
      <c r="D379" s="30" t="s">
        <v>920</v>
      </c>
      <c r="E379" s="30">
        <v>371</v>
      </c>
      <c r="F379" s="32">
        <v>45880</v>
      </c>
      <c r="G379" s="32">
        <v>46022</v>
      </c>
      <c r="H379" s="43">
        <v>43740667</v>
      </c>
      <c r="I379" s="43">
        <v>9373000</v>
      </c>
      <c r="J379" s="7">
        <f>6248667+I379+I379+I379</f>
        <v>34367667</v>
      </c>
      <c r="K379" s="3">
        <f t="shared" si="17"/>
        <v>9373000</v>
      </c>
      <c r="L379" s="1">
        <f t="shared" si="18"/>
        <v>0.7857142873472871</v>
      </c>
      <c r="M379" s="34">
        <v>0</v>
      </c>
      <c r="N379" s="2"/>
      <c r="O379" s="31"/>
    </row>
    <row r="380" spans="1:15" ht="96" x14ac:dyDescent="0.2">
      <c r="A380" s="30" t="s">
        <v>949</v>
      </c>
      <c r="B380" s="30" t="s">
        <v>934</v>
      </c>
      <c r="C380" s="30">
        <v>40077458</v>
      </c>
      <c r="D380" s="50" t="s">
        <v>921</v>
      </c>
      <c r="E380" s="30">
        <v>372</v>
      </c>
      <c r="F380" s="32">
        <v>45881</v>
      </c>
      <c r="G380" s="32">
        <v>46022</v>
      </c>
      <c r="H380" s="43">
        <v>26247833</v>
      </c>
      <c r="I380" s="49">
        <v>5665000</v>
      </c>
      <c r="J380" s="7">
        <f>3587833+I380+I380+I380+I380</f>
        <v>26247833</v>
      </c>
      <c r="K380" s="3">
        <f t="shared" si="17"/>
        <v>0</v>
      </c>
      <c r="L380" s="1">
        <f t="shared" si="18"/>
        <v>1</v>
      </c>
      <c r="M380" s="34">
        <v>0</v>
      </c>
      <c r="N380" s="2"/>
      <c r="O380" s="31"/>
    </row>
    <row r="381" spans="1:15" ht="64" x14ac:dyDescent="0.2">
      <c r="A381" s="30" t="s">
        <v>950</v>
      </c>
      <c r="B381" s="30" t="s">
        <v>934</v>
      </c>
      <c r="C381" s="30">
        <v>1014295997</v>
      </c>
      <c r="D381" s="42" t="s">
        <v>922</v>
      </c>
      <c r="E381" s="30">
        <v>373</v>
      </c>
      <c r="F381" s="32">
        <v>45883</v>
      </c>
      <c r="G381" s="32">
        <v>46022</v>
      </c>
      <c r="H381" s="43">
        <v>15180000</v>
      </c>
      <c r="I381" s="49">
        <v>3300000</v>
      </c>
      <c r="J381" s="7">
        <f>1870000+I381+I381+I381</f>
        <v>11770000</v>
      </c>
      <c r="K381" s="3">
        <f t="shared" si="17"/>
        <v>3410000</v>
      </c>
      <c r="L381" s="1">
        <f t="shared" si="18"/>
        <v>0.77536231884057971</v>
      </c>
      <c r="M381" s="34">
        <v>0</v>
      </c>
      <c r="N381" s="2"/>
      <c r="O381" s="31"/>
    </row>
    <row r="382" spans="1:15" ht="32" x14ac:dyDescent="0.2">
      <c r="A382" s="30" t="s">
        <v>951</v>
      </c>
      <c r="B382" s="30" t="s">
        <v>934</v>
      </c>
      <c r="C382" s="30">
        <v>51812327</v>
      </c>
      <c r="D382" s="45" t="s">
        <v>923</v>
      </c>
      <c r="E382" s="30">
        <v>374</v>
      </c>
      <c r="F382" s="32">
        <v>45883</v>
      </c>
      <c r="G382" s="32">
        <v>46022</v>
      </c>
      <c r="H382" s="43">
        <v>28222000</v>
      </c>
      <c r="I382" s="43">
        <v>6180000</v>
      </c>
      <c r="J382" s="7">
        <f>3502000+I382+I382+I382</f>
        <v>22042000</v>
      </c>
      <c r="K382" s="3">
        <f t="shared" si="17"/>
        <v>6180000</v>
      </c>
      <c r="L382" s="1">
        <f t="shared" si="18"/>
        <v>0.78102189781021902</v>
      </c>
      <c r="M382" s="34">
        <v>0</v>
      </c>
      <c r="N382" s="2"/>
      <c r="O382" s="31"/>
    </row>
    <row r="383" spans="1:15" ht="128" x14ac:dyDescent="0.2">
      <c r="A383" s="30" t="s">
        <v>952</v>
      </c>
      <c r="B383" s="30" t="s">
        <v>934</v>
      </c>
      <c r="C383" s="30">
        <v>1019146127</v>
      </c>
      <c r="D383" s="30" t="s">
        <v>924</v>
      </c>
      <c r="E383" s="30">
        <v>375</v>
      </c>
      <c r="F383" s="32">
        <v>45881</v>
      </c>
      <c r="G383" s="32">
        <v>46022</v>
      </c>
      <c r="H383" s="43">
        <v>21475500</v>
      </c>
      <c r="I383" s="43">
        <v>4635000</v>
      </c>
      <c r="J383" s="7">
        <f>2935500+I383+I383+I383</f>
        <v>16840500</v>
      </c>
      <c r="K383" s="3">
        <f t="shared" si="17"/>
        <v>4635000</v>
      </c>
      <c r="L383" s="1">
        <f t="shared" si="18"/>
        <v>0.78417266187050361</v>
      </c>
      <c r="M383" s="34">
        <v>0</v>
      </c>
      <c r="N383" s="2"/>
      <c r="O383" s="31"/>
    </row>
    <row r="384" spans="1:15" ht="48" x14ac:dyDescent="0.2">
      <c r="A384" s="30" t="s">
        <v>953</v>
      </c>
      <c r="B384" s="30" t="s">
        <v>934</v>
      </c>
      <c r="C384" s="30">
        <v>1032377372</v>
      </c>
      <c r="D384" s="30" t="s">
        <v>925</v>
      </c>
      <c r="E384" s="30">
        <v>376</v>
      </c>
      <c r="F384" s="32">
        <v>45884</v>
      </c>
      <c r="G384" s="32">
        <v>46022</v>
      </c>
      <c r="H384" s="43">
        <v>46693333</v>
      </c>
      <c r="I384" s="43">
        <v>10300000</v>
      </c>
      <c r="J384" s="7">
        <f>5493333+I384+I384+I384</f>
        <v>36393333</v>
      </c>
      <c r="K384" s="3">
        <f t="shared" si="17"/>
        <v>10300000</v>
      </c>
      <c r="L384" s="1">
        <f t="shared" si="18"/>
        <v>0.7794117631311519</v>
      </c>
      <c r="M384" s="34">
        <v>0</v>
      </c>
      <c r="N384" s="2"/>
      <c r="O384" s="31"/>
    </row>
    <row r="385" spans="1:15" ht="128" x14ac:dyDescent="0.2">
      <c r="A385" s="30" t="s">
        <v>954</v>
      </c>
      <c r="B385" s="30" t="s">
        <v>933</v>
      </c>
      <c r="C385" s="30" t="s">
        <v>936</v>
      </c>
      <c r="D385" s="30" t="s">
        <v>926</v>
      </c>
      <c r="E385" s="30">
        <v>377</v>
      </c>
      <c r="F385" s="32">
        <v>45897</v>
      </c>
      <c r="G385" s="32">
        <v>45988</v>
      </c>
      <c r="H385" s="43">
        <v>20448960</v>
      </c>
      <c r="I385" s="30" t="s">
        <v>898</v>
      </c>
      <c r="J385" s="7"/>
      <c r="K385" s="3">
        <f t="shared" si="17"/>
        <v>20448960</v>
      </c>
      <c r="L385" s="1">
        <f t="shared" si="18"/>
        <v>0</v>
      </c>
      <c r="M385" s="34">
        <v>0</v>
      </c>
      <c r="N385" s="2"/>
      <c r="O385" s="31"/>
    </row>
    <row r="386" spans="1:15" ht="64" x14ac:dyDescent="0.2">
      <c r="A386" s="30" t="s">
        <v>955</v>
      </c>
      <c r="B386" s="30" t="s">
        <v>934</v>
      </c>
      <c r="C386" s="30">
        <v>22518462</v>
      </c>
      <c r="D386" s="50" t="s">
        <v>927</v>
      </c>
      <c r="E386" s="30">
        <v>378</v>
      </c>
      <c r="F386" s="32">
        <v>45889</v>
      </c>
      <c r="G386" s="32">
        <v>46022</v>
      </c>
      <c r="H386" s="43">
        <v>29458000</v>
      </c>
      <c r="I386" s="43">
        <v>6695000</v>
      </c>
      <c r="J386" s="7">
        <f>2331667+6695000+I386+I386</f>
        <v>22416667</v>
      </c>
      <c r="K386" s="3">
        <f t="shared" si="17"/>
        <v>7041333</v>
      </c>
      <c r="L386" s="1">
        <f t="shared" si="18"/>
        <v>0.76097043248014118</v>
      </c>
      <c r="M386" s="34">
        <v>0</v>
      </c>
      <c r="N386" s="2"/>
      <c r="O386" s="31"/>
    </row>
    <row r="387" spans="1:15" ht="80" x14ac:dyDescent="0.2">
      <c r="A387" s="30" t="s">
        <v>956</v>
      </c>
      <c r="B387" s="30" t="s">
        <v>934</v>
      </c>
      <c r="C387" s="30">
        <v>80027213</v>
      </c>
      <c r="D387" s="42" t="s">
        <v>928</v>
      </c>
      <c r="E387" s="30">
        <v>379</v>
      </c>
      <c r="F387" s="32">
        <v>45890</v>
      </c>
      <c r="G387" s="32">
        <v>46022</v>
      </c>
      <c r="H387" s="43">
        <v>26986000</v>
      </c>
      <c r="I387" s="43">
        <v>6180000</v>
      </c>
      <c r="J387" s="7">
        <f>2060000+I387+I387+I387</f>
        <v>20600000</v>
      </c>
      <c r="K387" s="3">
        <f t="shared" si="17"/>
        <v>6386000</v>
      </c>
      <c r="L387" s="1">
        <f t="shared" si="18"/>
        <v>0.76335877862595414</v>
      </c>
      <c r="M387" s="34">
        <v>0</v>
      </c>
      <c r="N387" s="2"/>
      <c r="O387" s="31"/>
    </row>
    <row r="388" spans="1:15" ht="32" x14ac:dyDescent="0.2">
      <c r="A388" s="30" t="s">
        <v>957</v>
      </c>
      <c r="B388" s="30" t="s">
        <v>933</v>
      </c>
      <c r="C388" s="30">
        <v>901472025</v>
      </c>
      <c r="D388" s="45" t="s">
        <v>929</v>
      </c>
      <c r="E388" s="30">
        <v>380</v>
      </c>
      <c r="F388" s="32">
        <v>45897</v>
      </c>
      <c r="G388" s="32">
        <v>45957</v>
      </c>
      <c r="H388" s="43">
        <v>133000000</v>
      </c>
      <c r="I388" s="30" t="s">
        <v>898</v>
      </c>
      <c r="J388" s="7"/>
      <c r="K388" s="3">
        <f t="shared" si="17"/>
        <v>133000000</v>
      </c>
      <c r="L388" s="1">
        <f t="shared" si="18"/>
        <v>0</v>
      </c>
      <c r="M388" s="34">
        <v>0</v>
      </c>
      <c r="N388" s="2"/>
      <c r="O388" s="31"/>
    </row>
    <row r="389" spans="1:15" ht="96" x14ac:dyDescent="0.2">
      <c r="A389" s="30" t="s">
        <v>958</v>
      </c>
      <c r="B389" s="30" t="s">
        <v>934</v>
      </c>
      <c r="C389" s="30">
        <v>1067968209</v>
      </c>
      <c r="D389" s="30" t="s">
        <v>930</v>
      </c>
      <c r="E389" s="30">
        <v>381</v>
      </c>
      <c r="F389" s="32">
        <v>45894</v>
      </c>
      <c r="G389" s="32">
        <v>46022</v>
      </c>
      <c r="H389" s="43">
        <v>16068000</v>
      </c>
      <c r="I389" s="49">
        <v>3708000</v>
      </c>
      <c r="J389" s="7">
        <f>741600+I389+I389+I389</f>
        <v>11865600</v>
      </c>
      <c r="K389" s="3">
        <f t="shared" si="17"/>
        <v>4202400</v>
      </c>
      <c r="L389" s="1">
        <f t="shared" si="18"/>
        <v>0.7384615384615385</v>
      </c>
      <c r="M389" s="34">
        <v>0</v>
      </c>
      <c r="N389" s="2"/>
      <c r="O389" s="31"/>
    </row>
    <row r="390" spans="1:15" ht="64" x14ac:dyDescent="0.2">
      <c r="A390" s="30" t="s">
        <v>959</v>
      </c>
      <c r="B390" s="30" t="s">
        <v>934</v>
      </c>
      <c r="C390" s="30">
        <v>88266548</v>
      </c>
      <c r="D390" s="30" t="s">
        <v>931</v>
      </c>
      <c r="E390" s="30">
        <v>382</v>
      </c>
      <c r="F390" s="32">
        <v>45895</v>
      </c>
      <c r="G390" s="32">
        <v>46022</v>
      </c>
      <c r="H390" s="43">
        <v>40303900</v>
      </c>
      <c r="I390" s="43">
        <v>9373000</v>
      </c>
      <c r="J390" s="7">
        <f>1562167+I390+I390+I390</f>
        <v>29681167</v>
      </c>
      <c r="K390" s="3">
        <f t="shared" si="17"/>
        <v>10622733</v>
      </c>
      <c r="L390" s="1">
        <f t="shared" si="18"/>
        <v>0.73643411679763005</v>
      </c>
      <c r="M390" s="34">
        <v>0</v>
      </c>
      <c r="N390" s="2"/>
      <c r="O390" s="31"/>
    </row>
    <row r="391" spans="1:15" ht="96" x14ac:dyDescent="0.2">
      <c r="A391" s="30" t="s">
        <v>960</v>
      </c>
      <c r="B391" s="30" t="s">
        <v>933</v>
      </c>
      <c r="C391" s="30">
        <v>900341427</v>
      </c>
      <c r="D391" s="30" t="s">
        <v>932</v>
      </c>
      <c r="E391" s="30">
        <v>383</v>
      </c>
      <c r="F391" s="32">
        <v>45896</v>
      </c>
      <c r="G391" s="32">
        <v>46002</v>
      </c>
      <c r="H391" s="43">
        <v>117868000</v>
      </c>
      <c r="I391" s="30" t="s">
        <v>898</v>
      </c>
      <c r="J391" s="7">
        <v>70720800</v>
      </c>
      <c r="K391" s="3">
        <f t="shared" si="17"/>
        <v>47147200</v>
      </c>
      <c r="L391" s="1">
        <f t="shared" si="18"/>
        <v>0.6</v>
      </c>
      <c r="M391" s="34">
        <v>0</v>
      </c>
      <c r="N391" s="2"/>
      <c r="O391" s="31"/>
    </row>
    <row r="392" spans="1:15" ht="64" x14ac:dyDescent="0.2">
      <c r="A392" s="30" t="s">
        <v>963</v>
      </c>
      <c r="B392" s="30" t="s">
        <v>933</v>
      </c>
      <c r="C392" s="30">
        <v>901983419</v>
      </c>
      <c r="D392" s="30" t="s">
        <v>961</v>
      </c>
      <c r="E392" s="30">
        <v>384</v>
      </c>
      <c r="F392" s="32">
        <v>45915</v>
      </c>
      <c r="G392" s="32">
        <v>46006</v>
      </c>
      <c r="H392" s="43">
        <v>442192695</v>
      </c>
      <c r="I392" s="30" t="s">
        <v>898</v>
      </c>
      <c r="J392" s="7"/>
      <c r="K392" s="3">
        <f t="shared" ref="K392:K393" si="19">H392-J392</f>
        <v>442192695</v>
      </c>
      <c r="L392" s="1">
        <f t="shared" ref="L392:L393" si="20">1-(K392/H392)</f>
        <v>0</v>
      </c>
      <c r="M392" s="34">
        <v>0</v>
      </c>
      <c r="N392" s="2"/>
      <c r="O392" s="31"/>
    </row>
    <row r="393" spans="1:15" ht="48" x14ac:dyDescent="0.2">
      <c r="A393" s="45" t="s">
        <v>964</v>
      </c>
      <c r="B393" s="30" t="s">
        <v>934</v>
      </c>
      <c r="C393" s="30">
        <v>1193526878</v>
      </c>
      <c r="D393" s="30" t="s">
        <v>962</v>
      </c>
      <c r="E393" s="30">
        <v>385</v>
      </c>
      <c r="F393" s="32">
        <v>45896</v>
      </c>
      <c r="G393" s="32">
        <v>45987</v>
      </c>
      <c r="H393" s="43">
        <v>9900000</v>
      </c>
      <c r="I393" s="43">
        <v>3300000</v>
      </c>
      <c r="J393" s="7">
        <f>+I393+I393</f>
        <v>6600000</v>
      </c>
      <c r="K393" s="3">
        <f t="shared" si="19"/>
        <v>3300000</v>
      </c>
      <c r="L393" s="1">
        <f t="shared" si="20"/>
        <v>0.66666666666666674</v>
      </c>
      <c r="M393" s="34">
        <v>0</v>
      </c>
      <c r="N393" s="2"/>
      <c r="O393" s="31"/>
    </row>
    <row r="394" spans="1:15" ht="112" x14ac:dyDescent="0.2">
      <c r="A394" s="30" t="s">
        <v>966</v>
      </c>
      <c r="B394" s="30" t="s">
        <v>934</v>
      </c>
      <c r="C394" s="30">
        <v>1086498977</v>
      </c>
      <c r="D394" s="30" t="s">
        <v>1025</v>
      </c>
      <c r="E394" s="30">
        <v>386</v>
      </c>
      <c r="F394" s="32">
        <v>45901</v>
      </c>
      <c r="G394" s="32">
        <v>46022</v>
      </c>
      <c r="H394" s="2">
        <v>28840000</v>
      </c>
      <c r="I394" s="2">
        <v>7210000</v>
      </c>
      <c r="J394" s="9">
        <f>7210000+I394+I394</f>
        <v>21630000</v>
      </c>
      <c r="K394" s="3">
        <f t="shared" ref="K394:K453" si="21">H394-J394</f>
        <v>7210000</v>
      </c>
      <c r="L394" s="1">
        <f t="shared" ref="L394:L454" si="22">1-(K394/H394)</f>
        <v>0.75</v>
      </c>
      <c r="M394" s="34">
        <v>0</v>
      </c>
      <c r="N394" s="2"/>
      <c r="O394" s="31"/>
    </row>
    <row r="395" spans="1:15" ht="112" x14ac:dyDescent="0.2">
      <c r="A395" s="30" t="s">
        <v>967</v>
      </c>
      <c r="B395" s="30" t="s">
        <v>934</v>
      </c>
      <c r="C395" s="30">
        <v>80777620</v>
      </c>
      <c r="D395" s="30" t="s">
        <v>1026</v>
      </c>
      <c r="E395" s="30">
        <v>387</v>
      </c>
      <c r="F395" s="32">
        <v>45901</v>
      </c>
      <c r="G395" s="32">
        <v>46022</v>
      </c>
      <c r="H395" s="2">
        <v>32960000</v>
      </c>
      <c r="I395" s="2">
        <v>8240000</v>
      </c>
      <c r="J395" s="9">
        <f>8240000+I395+I395</f>
        <v>24720000</v>
      </c>
      <c r="K395" s="3">
        <f t="shared" si="21"/>
        <v>8240000</v>
      </c>
      <c r="L395" s="1">
        <f t="shared" si="22"/>
        <v>0.75</v>
      </c>
      <c r="M395" s="34">
        <v>0</v>
      </c>
      <c r="N395" s="2"/>
      <c r="O395" s="31"/>
    </row>
    <row r="396" spans="1:15" ht="96" x14ac:dyDescent="0.2">
      <c r="A396" s="30" t="s">
        <v>968</v>
      </c>
      <c r="B396" s="30" t="s">
        <v>934</v>
      </c>
      <c r="C396" s="30">
        <v>1073827211</v>
      </c>
      <c r="D396" s="30" t="s">
        <v>1027</v>
      </c>
      <c r="E396" s="30">
        <v>388</v>
      </c>
      <c r="F396" s="32">
        <v>45937</v>
      </c>
      <c r="G396" s="32">
        <v>46022</v>
      </c>
      <c r="H396" s="2">
        <v>10382400</v>
      </c>
      <c r="I396" s="2">
        <v>3708000</v>
      </c>
      <c r="J396" s="7">
        <f>I396+I396</f>
        <v>7416000</v>
      </c>
      <c r="K396" s="3">
        <f t="shared" si="21"/>
        <v>2966400</v>
      </c>
      <c r="L396" s="1">
        <f t="shared" si="22"/>
        <v>0.7142857142857143</v>
      </c>
      <c r="M396" s="34">
        <v>0</v>
      </c>
      <c r="N396" s="2"/>
      <c r="O396" s="31"/>
    </row>
    <row r="397" spans="1:15" ht="112" x14ac:dyDescent="0.2">
      <c r="A397" s="30" t="s">
        <v>969</v>
      </c>
      <c r="B397" s="30" t="s">
        <v>934</v>
      </c>
      <c r="C397" s="30">
        <v>7183875</v>
      </c>
      <c r="D397" s="30" t="s">
        <v>1028</v>
      </c>
      <c r="E397" s="30">
        <v>389</v>
      </c>
      <c r="F397" s="32">
        <v>45901</v>
      </c>
      <c r="G397" s="32">
        <v>46022</v>
      </c>
      <c r="H397" s="2">
        <v>28840000</v>
      </c>
      <c r="I397" s="2" t="s">
        <v>896</v>
      </c>
      <c r="J397" s="9">
        <f>7210000+I397+I397</f>
        <v>21630000</v>
      </c>
      <c r="K397" s="3">
        <f t="shared" si="21"/>
        <v>7210000</v>
      </c>
      <c r="L397" s="1">
        <f t="shared" si="22"/>
        <v>0.75</v>
      </c>
      <c r="M397" s="34">
        <v>0</v>
      </c>
      <c r="N397" s="2"/>
      <c r="O397" s="31"/>
    </row>
    <row r="398" spans="1:15" ht="48" x14ac:dyDescent="0.2">
      <c r="A398" s="30" t="s">
        <v>970</v>
      </c>
      <c r="B398" s="30" t="s">
        <v>934</v>
      </c>
      <c r="C398" s="30">
        <v>39538378</v>
      </c>
      <c r="D398" s="30" t="s">
        <v>1029</v>
      </c>
      <c r="E398" s="30">
        <v>390</v>
      </c>
      <c r="F398" s="32">
        <v>45898</v>
      </c>
      <c r="G398" s="32">
        <v>46022</v>
      </c>
      <c r="H398" s="2">
        <v>43981000</v>
      </c>
      <c r="I398" s="2">
        <v>10815000</v>
      </c>
      <c r="J398" s="9">
        <f>721000+10815000+I398+I398</f>
        <v>33166000</v>
      </c>
      <c r="K398" s="3">
        <f t="shared" si="21"/>
        <v>10815000</v>
      </c>
      <c r="L398" s="1">
        <f t="shared" si="22"/>
        <v>0.75409836065573765</v>
      </c>
      <c r="M398" s="34">
        <v>0</v>
      </c>
      <c r="N398" s="2"/>
      <c r="O398" s="31"/>
    </row>
    <row r="399" spans="1:15" ht="144" x14ac:dyDescent="0.2">
      <c r="A399" s="30" t="s">
        <v>971</v>
      </c>
      <c r="B399" s="30" t="s">
        <v>934</v>
      </c>
      <c r="C399" s="30">
        <v>1018408746</v>
      </c>
      <c r="D399" s="30" t="s">
        <v>1030</v>
      </c>
      <c r="E399" s="30">
        <v>391</v>
      </c>
      <c r="F399" s="32">
        <v>45901</v>
      </c>
      <c r="G399" s="32">
        <v>46022</v>
      </c>
      <c r="H399" s="2">
        <v>28840000</v>
      </c>
      <c r="I399" s="2">
        <v>7210000</v>
      </c>
      <c r="J399" s="9">
        <f>7210000+I399+I399</f>
        <v>21630000</v>
      </c>
      <c r="K399" s="3">
        <f t="shared" si="21"/>
        <v>7210000</v>
      </c>
      <c r="L399" s="1">
        <f t="shared" si="22"/>
        <v>0.75</v>
      </c>
      <c r="M399" s="34">
        <v>0</v>
      </c>
      <c r="N399" s="2"/>
      <c r="O399" s="31"/>
    </row>
    <row r="400" spans="1:15" ht="112" x14ac:dyDescent="0.2">
      <c r="A400" s="30" t="s">
        <v>972</v>
      </c>
      <c r="B400" s="30" t="s">
        <v>934</v>
      </c>
      <c r="C400" s="30">
        <v>1031142414</v>
      </c>
      <c r="D400" s="30" t="s">
        <v>1031</v>
      </c>
      <c r="E400" s="30">
        <v>392</v>
      </c>
      <c r="F400" s="32">
        <v>45902</v>
      </c>
      <c r="G400" s="32">
        <v>46022</v>
      </c>
      <c r="H400" s="2">
        <v>15934100</v>
      </c>
      <c r="I400" s="2" t="s">
        <v>1047</v>
      </c>
      <c r="J400" s="9">
        <f>3883100+I400+I400</f>
        <v>11917100</v>
      </c>
      <c r="K400" s="3">
        <f t="shared" si="21"/>
        <v>4017000</v>
      </c>
      <c r="L400" s="1">
        <f t="shared" si="22"/>
        <v>0.74789915966386555</v>
      </c>
      <c r="M400" s="34">
        <v>0</v>
      </c>
      <c r="N400" s="2"/>
      <c r="O400" s="31"/>
    </row>
    <row r="401" spans="1:15" ht="128" x14ac:dyDescent="0.2">
      <c r="A401" s="30" t="s">
        <v>973</v>
      </c>
      <c r="B401" s="30" t="s">
        <v>934</v>
      </c>
      <c r="C401" s="30">
        <v>1136885651</v>
      </c>
      <c r="D401" s="30" t="s">
        <v>1032</v>
      </c>
      <c r="E401" s="30">
        <v>393</v>
      </c>
      <c r="F401" s="32">
        <v>45902</v>
      </c>
      <c r="G401" s="32">
        <v>46022</v>
      </c>
      <c r="H401" s="2">
        <v>32685333</v>
      </c>
      <c r="I401" s="2">
        <v>8240000</v>
      </c>
      <c r="J401" s="9">
        <f>7965333+I401+I401+I401+I401</f>
        <v>40925333</v>
      </c>
      <c r="K401" s="3">
        <f t="shared" si="21"/>
        <v>-8240000</v>
      </c>
      <c r="L401" s="1">
        <f t="shared" si="22"/>
        <v>1.252100842907123</v>
      </c>
      <c r="M401" s="34">
        <v>0</v>
      </c>
      <c r="N401" s="2"/>
      <c r="O401" s="31"/>
    </row>
    <row r="402" spans="1:15" ht="64" x14ac:dyDescent="0.2">
      <c r="A402" s="30" t="s">
        <v>974</v>
      </c>
      <c r="B402" s="30" t="s">
        <v>934</v>
      </c>
      <c r="C402" s="30">
        <v>52514816</v>
      </c>
      <c r="D402" s="30" t="s">
        <v>1033</v>
      </c>
      <c r="E402" s="30">
        <v>394</v>
      </c>
      <c r="F402" s="32">
        <v>45902</v>
      </c>
      <c r="G402" s="32">
        <v>46022</v>
      </c>
      <c r="H402" s="2">
        <v>30642500</v>
      </c>
      <c r="I402" s="2">
        <v>7725000</v>
      </c>
      <c r="J402" s="9">
        <f>7467500+I402+I402</f>
        <v>22917500</v>
      </c>
      <c r="K402" s="3">
        <f t="shared" si="21"/>
        <v>7725000</v>
      </c>
      <c r="L402" s="1">
        <f t="shared" si="22"/>
        <v>0.74789915966386555</v>
      </c>
      <c r="M402" s="34">
        <v>0</v>
      </c>
      <c r="N402" s="2"/>
      <c r="O402" s="31"/>
    </row>
    <row r="403" spans="1:15" ht="240" x14ac:dyDescent="0.2">
      <c r="A403" s="30" t="s">
        <v>975</v>
      </c>
      <c r="B403" s="30" t="s">
        <v>934</v>
      </c>
      <c r="C403" s="30">
        <v>1022392830</v>
      </c>
      <c r="D403" s="14" t="s">
        <v>1054</v>
      </c>
      <c r="E403" s="30">
        <v>395</v>
      </c>
      <c r="F403" s="32">
        <v>45902</v>
      </c>
      <c r="G403" s="32">
        <v>46015</v>
      </c>
      <c r="H403" s="2">
        <v>27157667</v>
      </c>
      <c r="I403" s="2" t="s">
        <v>896</v>
      </c>
      <c r="J403" s="9">
        <f>6969667+I403+I403+I403+I403</f>
        <v>35809667</v>
      </c>
      <c r="K403" s="3">
        <f t="shared" si="21"/>
        <v>-8652000</v>
      </c>
      <c r="L403" s="1">
        <f t="shared" si="22"/>
        <v>1.3185840668861577</v>
      </c>
      <c r="M403" s="34">
        <v>0</v>
      </c>
      <c r="N403" s="2"/>
      <c r="O403" s="31"/>
    </row>
    <row r="404" spans="1:15" ht="80" x14ac:dyDescent="0.2">
      <c r="A404" s="30" t="s">
        <v>976</v>
      </c>
      <c r="B404" s="30" t="s">
        <v>934</v>
      </c>
      <c r="C404" s="30">
        <v>51605327</v>
      </c>
      <c r="D404" s="14" t="s">
        <v>1055</v>
      </c>
      <c r="E404" s="30">
        <v>396</v>
      </c>
      <c r="F404" s="32">
        <v>45904</v>
      </c>
      <c r="G404" s="32">
        <v>46022</v>
      </c>
      <c r="H404" s="2" t="s">
        <v>1048</v>
      </c>
      <c r="I404" s="2">
        <v>7210000</v>
      </c>
      <c r="J404" s="9">
        <f>8435700+I404+I404</f>
        <v>22855700</v>
      </c>
      <c r="K404" s="3">
        <f t="shared" si="21"/>
        <v>13699000</v>
      </c>
      <c r="L404" s="1">
        <f t="shared" si="22"/>
        <v>0.62524654832347137</v>
      </c>
      <c r="M404" s="34">
        <v>0</v>
      </c>
      <c r="N404" s="2"/>
      <c r="O404" s="31"/>
    </row>
    <row r="405" spans="1:15" ht="192" x14ac:dyDescent="0.2">
      <c r="A405" s="30" t="s">
        <v>138</v>
      </c>
      <c r="B405" s="30" t="s">
        <v>934</v>
      </c>
      <c r="C405" s="30">
        <v>1070918764</v>
      </c>
      <c r="D405" s="14" t="s">
        <v>1056</v>
      </c>
      <c r="E405" s="30">
        <v>397</v>
      </c>
      <c r="F405" s="32">
        <v>45903</v>
      </c>
      <c r="G405" s="32">
        <v>46022</v>
      </c>
      <c r="H405" s="2">
        <v>22282333</v>
      </c>
      <c r="I405" s="2" t="s">
        <v>1049</v>
      </c>
      <c r="J405" s="9">
        <f>5287333+I405+I405</f>
        <v>16617333</v>
      </c>
      <c r="K405" s="3">
        <f t="shared" si="21"/>
        <v>5665000</v>
      </c>
      <c r="L405" s="1">
        <f t="shared" si="22"/>
        <v>0.74576270806113532</v>
      </c>
      <c r="M405" s="34">
        <v>0</v>
      </c>
      <c r="N405" s="2"/>
      <c r="O405" s="31"/>
    </row>
    <row r="406" spans="1:15" ht="64" x14ac:dyDescent="0.2">
      <c r="A406" s="30" t="s">
        <v>977</v>
      </c>
      <c r="B406" s="30" t="s">
        <v>933</v>
      </c>
      <c r="C406" s="30">
        <v>900078578</v>
      </c>
      <c r="D406" s="2" t="s">
        <v>1034</v>
      </c>
      <c r="E406" s="30">
        <v>398</v>
      </c>
      <c r="F406" s="32">
        <v>45918</v>
      </c>
      <c r="G406" s="32">
        <v>45978</v>
      </c>
      <c r="H406" s="2">
        <v>2096169</v>
      </c>
      <c r="I406" s="2" t="s">
        <v>898</v>
      </c>
      <c r="J406" s="7">
        <f>H406</f>
        <v>2096169</v>
      </c>
      <c r="K406" s="3">
        <f t="shared" si="21"/>
        <v>0</v>
      </c>
      <c r="L406" s="1">
        <f t="shared" si="22"/>
        <v>1</v>
      </c>
      <c r="M406" s="34">
        <v>0</v>
      </c>
      <c r="N406" s="2"/>
      <c r="O406" s="31"/>
    </row>
    <row r="407" spans="1:15" ht="96" x14ac:dyDescent="0.2">
      <c r="A407" s="30" t="s">
        <v>978</v>
      </c>
      <c r="B407" s="30" t="s">
        <v>934</v>
      </c>
      <c r="C407" s="30">
        <v>52491768</v>
      </c>
      <c r="D407" s="6" t="s">
        <v>1035</v>
      </c>
      <c r="E407" s="30">
        <v>399</v>
      </c>
      <c r="F407" s="32">
        <v>45911</v>
      </c>
      <c r="G407" s="32">
        <v>46022</v>
      </c>
      <c r="H407" s="2">
        <v>25887333</v>
      </c>
      <c r="I407" s="2">
        <v>6695000</v>
      </c>
      <c r="J407" s="9">
        <f>4633333+I407+I407</f>
        <v>18023333</v>
      </c>
      <c r="K407" s="3">
        <f t="shared" si="21"/>
        <v>7864000</v>
      </c>
      <c r="L407" s="1">
        <f t="shared" si="22"/>
        <v>0.69622208668617969</v>
      </c>
      <c r="M407" s="34">
        <v>0</v>
      </c>
      <c r="N407" s="2"/>
      <c r="O407" s="31"/>
    </row>
    <row r="408" spans="1:15" ht="96" x14ac:dyDescent="0.2">
      <c r="A408" s="30" t="s">
        <v>979</v>
      </c>
      <c r="B408" s="30" t="s">
        <v>934</v>
      </c>
      <c r="C408" s="30">
        <v>79246871</v>
      </c>
      <c r="D408" s="14" t="s">
        <v>1036</v>
      </c>
      <c r="E408" s="30">
        <v>400</v>
      </c>
      <c r="F408" s="32">
        <v>45905</v>
      </c>
      <c r="G408" s="32">
        <v>46022</v>
      </c>
      <c r="H408" s="2">
        <v>31861333</v>
      </c>
      <c r="I408" s="2">
        <v>8240000</v>
      </c>
      <c r="J408" s="9">
        <f>6042667+I408+I408</f>
        <v>22522667</v>
      </c>
      <c r="K408" s="3">
        <f t="shared" si="21"/>
        <v>9338666</v>
      </c>
      <c r="L408" s="1">
        <f t="shared" si="22"/>
        <v>0.70689656958169333</v>
      </c>
      <c r="M408" s="34">
        <v>0</v>
      </c>
      <c r="N408" s="2"/>
      <c r="O408" s="31"/>
    </row>
    <row r="409" spans="1:15" ht="144" x14ac:dyDescent="0.2">
      <c r="A409" s="30" t="s">
        <v>980</v>
      </c>
      <c r="B409" s="30" t="s">
        <v>934</v>
      </c>
      <c r="C409" s="30">
        <v>93374023</v>
      </c>
      <c r="D409" s="14" t="s">
        <v>1057</v>
      </c>
      <c r="E409" s="30">
        <v>401</v>
      </c>
      <c r="F409" s="32">
        <v>45905</v>
      </c>
      <c r="G409" s="32">
        <v>46022</v>
      </c>
      <c r="H409" s="2">
        <v>39826667</v>
      </c>
      <c r="I409" s="2">
        <v>10300000</v>
      </c>
      <c r="J409" s="9">
        <v>8926667</v>
      </c>
      <c r="K409" s="3">
        <f t="shared" si="21"/>
        <v>30900000</v>
      </c>
      <c r="L409" s="1">
        <f t="shared" si="22"/>
        <v>0.22413793752813915</v>
      </c>
      <c r="M409" s="34">
        <v>0</v>
      </c>
      <c r="N409" s="2"/>
      <c r="O409" s="31"/>
    </row>
    <row r="410" spans="1:15" ht="128" x14ac:dyDescent="0.2">
      <c r="A410" s="30" t="s">
        <v>981</v>
      </c>
      <c r="B410" s="30" t="s">
        <v>934</v>
      </c>
      <c r="C410" s="30">
        <v>1032453449</v>
      </c>
      <c r="D410" s="14" t="s">
        <v>1037</v>
      </c>
      <c r="E410" s="30">
        <v>402</v>
      </c>
      <c r="F410" s="30"/>
      <c r="G410" s="30"/>
      <c r="H410" s="2">
        <v>36554700</v>
      </c>
      <c r="I410" s="2">
        <v>9373000</v>
      </c>
      <c r="J410" s="7"/>
      <c r="K410" s="3">
        <f t="shared" si="21"/>
        <v>36554700</v>
      </c>
      <c r="L410" s="1">
        <f t="shared" si="22"/>
        <v>0</v>
      </c>
      <c r="M410" s="34">
        <v>0</v>
      </c>
      <c r="N410" s="2"/>
      <c r="O410" s="31"/>
    </row>
    <row r="411" spans="1:15" ht="112" x14ac:dyDescent="0.2">
      <c r="A411" s="30" t="s">
        <v>982</v>
      </c>
      <c r="B411" s="30" t="s">
        <v>934</v>
      </c>
      <c r="C411" s="30">
        <v>79889833</v>
      </c>
      <c r="D411" s="14" t="s">
        <v>1038</v>
      </c>
      <c r="E411" s="30">
        <v>403</v>
      </c>
      <c r="F411" s="32">
        <v>45905</v>
      </c>
      <c r="G411" s="32">
        <v>46022</v>
      </c>
      <c r="H411" s="2">
        <v>33852667</v>
      </c>
      <c r="I411" s="2" t="s">
        <v>899</v>
      </c>
      <c r="J411" s="15">
        <f>7587667+I411+I411</f>
        <v>25097667</v>
      </c>
      <c r="K411" s="3">
        <f t="shared" si="21"/>
        <v>8755000</v>
      </c>
      <c r="L411" s="1">
        <f t="shared" si="22"/>
        <v>0.7413793128913595</v>
      </c>
      <c r="M411" s="34">
        <v>0</v>
      </c>
      <c r="N411" s="2"/>
      <c r="O411" s="31"/>
    </row>
    <row r="412" spans="1:15" ht="112" x14ac:dyDescent="0.2">
      <c r="A412" s="30" t="s">
        <v>983</v>
      </c>
      <c r="B412" s="30" t="s">
        <v>934</v>
      </c>
      <c r="C412" s="30">
        <v>1019015755</v>
      </c>
      <c r="D412" s="14" t="s">
        <v>1039</v>
      </c>
      <c r="E412" s="30">
        <v>404</v>
      </c>
      <c r="F412" s="32">
        <v>45905</v>
      </c>
      <c r="G412" s="32">
        <v>46022</v>
      </c>
      <c r="H412" s="2">
        <v>33852667</v>
      </c>
      <c r="I412" s="2" t="s">
        <v>899</v>
      </c>
      <c r="J412" s="15">
        <f>7587667+I412+I412</f>
        <v>25097667</v>
      </c>
      <c r="K412" s="3">
        <f t="shared" si="21"/>
        <v>8755000</v>
      </c>
      <c r="L412" s="1">
        <f t="shared" si="22"/>
        <v>0.7413793128913595</v>
      </c>
      <c r="M412" s="34">
        <v>0</v>
      </c>
      <c r="N412" s="2"/>
      <c r="O412" s="31"/>
    </row>
    <row r="413" spans="1:15" ht="112" x14ac:dyDescent="0.2">
      <c r="A413" s="30" t="s">
        <v>984</v>
      </c>
      <c r="B413" s="30" t="s">
        <v>934</v>
      </c>
      <c r="C413" s="30">
        <v>53098887</v>
      </c>
      <c r="D413" s="6" t="s">
        <v>1040</v>
      </c>
      <c r="E413" s="30">
        <v>405</v>
      </c>
      <c r="F413" s="32">
        <v>45909</v>
      </c>
      <c r="G413" s="32">
        <v>46022</v>
      </c>
      <c r="H413" s="2">
        <v>39826666</v>
      </c>
      <c r="I413" s="2">
        <v>10300000</v>
      </c>
      <c r="J413" s="15">
        <f>7553333+I413+I413</f>
        <v>28153333</v>
      </c>
      <c r="K413" s="3">
        <f t="shared" si="21"/>
        <v>11673333</v>
      </c>
      <c r="L413" s="1">
        <f t="shared" si="22"/>
        <v>0.70689655518742134</v>
      </c>
      <c r="M413" s="34">
        <v>0</v>
      </c>
      <c r="N413" s="2"/>
      <c r="O413" s="31"/>
    </row>
    <row r="414" spans="1:15" ht="112" x14ac:dyDescent="0.2">
      <c r="A414" s="30" t="s">
        <v>985</v>
      </c>
      <c r="B414" s="30" t="s">
        <v>934</v>
      </c>
      <c r="C414" s="30">
        <v>26688641</v>
      </c>
      <c r="D414" s="6" t="s">
        <v>1058</v>
      </c>
      <c r="E414" s="30">
        <v>406</v>
      </c>
      <c r="F414" s="32">
        <v>45909</v>
      </c>
      <c r="G414" s="32">
        <v>46022</v>
      </c>
      <c r="H414" s="2">
        <v>17458500</v>
      </c>
      <c r="I414" s="2" t="s">
        <v>1050</v>
      </c>
      <c r="J414" s="15">
        <f>3399000+I414+I414</f>
        <v>12669000</v>
      </c>
      <c r="K414" s="3">
        <f t="shared" si="21"/>
        <v>4789500</v>
      </c>
      <c r="L414" s="1">
        <f t="shared" si="22"/>
        <v>0.72566371681415931</v>
      </c>
      <c r="M414" s="34">
        <v>0</v>
      </c>
      <c r="N414" s="2"/>
      <c r="O414" s="31"/>
    </row>
    <row r="415" spans="1:15" ht="144" x14ac:dyDescent="0.2">
      <c r="A415" s="30" t="s">
        <v>986</v>
      </c>
      <c r="B415" s="30" t="s">
        <v>934</v>
      </c>
      <c r="C415" s="30">
        <v>76328641</v>
      </c>
      <c r="D415" s="6" t="s">
        <v>1041</v>
      </c>
      <c r="E415" s="30">
        <v>407</v>
      </c>
      <c r="F415" s="32">
        <v>45909</v>
      </c>
      <c r="G415" s="32">
        <v>46013</v>
      </c>
      <c r="H415" s="2">
        <v>23432500</v>
      </c>
      <c r="I415" s="2" t="s">
        <v>1051</v>
      </c>
      <c r="J415" s="15">
        <f>4909667+I415+I415</f>
        <v>12943697</v>
      </c>
      <c r="K415" s="3">
        <f t="shared" si="21"/>
        <v>10488803</v>
      </c>
      <c r="L415" s="1">
        <f t="shared" si="22"/>
        <v>0.55238224687933424</v>
      </c>
      <c r="M415" s="34">
        <v>0</v>
      </c>
      <c r="N415" s="2"/>
      <c r="O415" s="31"/>
    </row>
    <row r="416" spans="1:15" ht="160" x14ac:dyDescent="0.2">
      <c r="A416" s="30" t="s">
        <v>987</v>
      </c>
      <c r="B416" s="30" t="s">
        <v>934</v>
      </c>
      <c r="C416" s="30">
        <v>80882504</v>
      </c>
      <c r="D416" s="6" t="s">
        <v>1059</v>
      </c>
      <c r="E416" s="30">
        <v>408</v>
      </c>
      <c r="F416" s="32">
        <v>45910</v>
      </c>
      <c r="G416" s="32">
        <v>46015</v>
      </c>
      <c r="H416" s="2">
        <v>23432500</v>
      </c>
      <c r="I416" s="2">
        <v>6695000</v>
      </c>
      <c r="J416" s="15">
        <f>4686500+I416+I416+I416+I416</f>
        <v>31466500</v>
      </c>
      <c r="K416" s="3">
        <f t="shared" si="21"/>
        <v>-8034000</v>
      </c>
      <c r="L416" s="1">
        <f t="shared" si="22"/>
        <v>1.342857142857143</v>
      </c>
      <c r="M416" s="34">
        <v>0</v>
      </c>
      <c r="N416" s="2"/>
      <c r="O416" s="31"/>
    </row>
    <row r="417" spans="1:15" ht="112" x14ac:dyDescent="0.2">
      <c r="A417" s="30" t="s">
        <v>988</v>
      </c>
      <c r="B417" s="30" t="s">
        <v>934</v>
      </c>
      <c r="C417" s="30">
        <v>1079033550</v>
      </c>
      <c r="D417" s="6" t="s">
        <v>1042</v>
      </c>
      <c r="E417" s="30">
        <v>409</v>
      </c>
      <c r="F417" s="32">
        <v>45910</v>
      </c>
      <c r="G417" s="32">
        <v>46022</v>
      </c>
      <c r="H417" s="2">
        <v>20960500</v>
      </c>
      <c r="I417" s="2">
        <v>5665000</v>
      </c>
      <c r="J417" s="15">
        <v>3965500</v>
      </c>
      <c r="K417" s="3">
        <f t="shared" si="21"/>
        <v>16995000</v>
      </c>
      <c r="L417" s="1">
        <f t="shared" si="22"/>
        <v>0.18918918918918914</v>
      </c>
      <c r="M417" s="34">
        <v>0</v>
      </c>
      <c r="N417" s="2"/>
      <c r="O417" s="31"/>
    </row>
    <row r="418" spans="1:15" ht="409.6" x14ac:dyDescent="0.2">
      <c r="A418" s="30" t="s">
        <v>989</v>
      </c>
      <c r="B418" s="30" t="s">
        <v>933</v>
      </c>
      <c r="C418" s="30">
        <v>901699676</v>
      </c>
      <c r="D418" s="6" t="s">
        <v>1092</v>
      </c>
      <c r="E418" s="30">
        <v>410</v>
      </c>
      <c r="F418" s="32">
        <v>45922</v>
      </c>
      <c r="G418" s="32">
        <v>46006</v>
      </c>
      <c r="H418" s="2">
        <v>1809764850</v>
      </c>
      <c r="I418" s="2" t="s">
        <v>898</v>
      </c>
      <c r="J418" s="7">
        <v>218150000</v>
      </c>
      <c r="K418" s="3">
        <f t="shared" si="21"/>
        <v>1591614850</v>
      </c>
      <c r="L418" s="1">
        <f t="shared" si="22"/>
        <v>0.12054052215678734</v>
      </c>
      <c r="M418" s="34">
        <v>0</v>
      </c>
      <c r="N418" s="2"/>
      <c r="O418" s="31"/>
    </row>
    <row r="419" spans="1:15" ht="80" x14ac:dyDescent="0.2">
      <c r="A419" s="30" t="s">
        <v>990</v>
      </c>
      <c r="B419" s="30" t="s">
        <v>934</v>
      </c>
      <c r="C419" s="30">
        <v>53077556</v>
      </c>
      <c r="D419" s="6" t="s">
        <v>1043</v>
      </c>
      <c r="E419" s="30">
        <v>411</v>
      </c>
      <c r="F419" s="32">
        <v>45910</v>
      </c>
      <c r="G419" s="32">
        <v>46022</v>
      </c>
      <c r="H419" s="2">
        <v>21149333</v>
      </c>
      <c r="I419" s="2">
        <v>5665000</v>
      </c>
      <c r="J419" s="15">
        <f>3965500+I419+I419</f>
        <v>15295500</v>
      </c>
      <c r="K419" s="3">
        <f t="shared" si="21"/>
        <v>5853833</v>
      </c>
      <c r="L419" s="1">
        <f t="shared" si="22"/>
        <v>0.72321429711282148</v>
      </c>
      <c r="M419" s="34">
        <v>0</v>
      </c>
      <c r="N419" s="2"/>
      <c r="O419" s="31"/>
    </row>
    <row r="420" spans="1:15" ht="64" x14ac:dyDescent="0.2">
      <c r="A420" s="30" t="s">
        <v>991</v>
      </c>
      <c r="B420" s="30" t="s">
        <v>934</v>
      </c>
      <c r="C420" s="30">
        <v>1019146115</v>
      </c>
      <c r="D420" s="6" t="s">
        <v>1060</v>
      </c>
      <c r="E420" s="30">
        <v>412</v>
      </c>
      <c r="F420" s="32">
        <v>45911</v>
      </c>
      <c r="G420" s="32">
        <v>46022</v>
      </c>
      <c r="H420" s="2">
        <v>14996800</v>
      </c>
      <c r="I420" s="2">
        <v>4017000</v>
      </c>
      <c r="J420" s="15">
        <f>2678000+I420+I420</f>
        <v>10712000</v>
      </c>
      <c r="K420" s="3">
        <f t="shared" si="21"/>
        <v>4284800</v>
      </c>
      <c r="L420" s="1">
        <f t="shared" si="22"/>
        <v>0.7142857142857143</v>
      </c>
      <c r="M420" s="34">
        <v>0</v>
      </c>
      <c r="N420" s="2"/>
      <c r="O420" s="31"/>
    </row>
    <row r="421" spans="1:15" ht="144" x14ac:dyDescent="0.2">
      <c r="A421" s="30" t="s">
        <v>992</v>
      </c>
      <c r="B421" s="30" t="s">
        <v>934</v>
      </c>
      <c r="C421" s="30">
        <v>25291147</v>
      </c>
      <c r="D421" s="6" t="s">
        <v>1061</v>
      </c>
      <c r="E421" s="30">
        <v>413</v>
      </c>
      <c r="F421" s="32">
        <v>45917</v>
      </c>
      <c r="G421" s="32">
        <v>46020</v>
      </c>
      <c r="H421" s="2">
        <v>21630000</v>
      </c>
      <c r="I421" s="2" t="s">
        <v>900</v>
      </c>
      <c r="J421" s="7">
        <f>2884000+I421+I421</f>
        <v>15244000</v>
      </c>
      <c r="K421" s="3">
        <f t="shared" si="21"/>
        <v>6386000</v>
      </c>
      <c r="L421" s="1">
        <f t="shared" si="22"/>
        <v>0.7047619047619047</v>
      </c>
      <c r="M421" s="34">
        <v>0</v>
      </c>
      <c r="N421" s="2"/>
      <c r="O421" s="31"/>
    </row>
    <row r="422" spans="1:15" ht="160" x14ac:dyDescent="0.2">
      <c r="A422" s="30" t="s">
        <v>993</v>
      </c>
      <c r="B422" s="30" t="s">
        <v>934</v>
      </c>
      <c r="C422" s="30">
        <v>1026569771</v>
      </c>
      <c r="D422" s="6" t="s">
        <v>1062</v>
      </c>
      <c r="E422" s="30">
        <v>414</v>
      </c>
      <c r="F422" s="32">
        <v>45910</v>
      </c>
      <c r="G422" s="32">
        <v>46015</v>
      </c>
      <c r="H422" s="2">
        <v>23432500</v>
      </c>
      <c r="I422" s="2">
        <v>6695000</v>
      </c>
      <c r="J422" s="15">
        <v>4686500</v>
      </c>
      <c r="K422" s="3">
        <f t="shared" si="21"/>
        <v>18746000</v>
      </c>
      <c r="L422" s="1">
        <f t="shared" si="22"/>
        <v>0.19999999999999996</v>
      </c>
      <c r="M422" s="34">
        <v>0</v>
      </c>
      <c r="N422" s="2"/>
      <c r="O422" s="31"/>
    </row>
    <row r="423" spans="1:15" ht="160" x14ac:dyDescent="0.2">
      <c r="A423" s="30" t="s">
        <v>994</v>
      </c>
      <c r="B423" s="30" t="s">
        <v>934</v>
      </c>
      <c r="C423" s="30">
        <v>1015414557</v>
      </c>
      <c r="D423" s="6" t="s">
        <v>1063</v>
      </c>
      <c r="E423" s="30">
        <v>415</v>
      </c>
      <c r="F423" s="32">
        <v>45910</v>
      </c>
      <c r="G423" s="32">
        <v>46015</v>
      </c>
      <c r="H423" s="2">
        <v>23432500</v>
      </c>
      <c r="I423" s="2">
        <v>6695000</v>
      </c>
      <c r="J423" s="15">
        <v>4686500</v>
      </c>
      <c r="K423" s="3">
        <f t="shared" si="21"/>
        <v>18746000</v>
      </c>
      <c r="L423" s="1">
        <f t="shared" si="22"/>
        <v>0.19999999999999996</v>
      </c>
      <c r="M423" s="34">
        <v>0</v>
      </c>
      <c r="N423" s="2"/>
      <c r="O423" s="31"/>
    </row>
    <row r="424" spans="1:15" ht="128" x14ac:dyDescent="0.2">
      <c r="A424" s="30" t="s">
        <v>995</v>
      </c>
      <c r="B424" s="30" t="s">
        <v>934</v>
      </c>
      <c r="C424" s="30">
        <v>28956143</v>
      </c>
      <c r="D424" s="6" t="s">
        <v>1064</v>
      </c>
      <c r="E424" s="30">
        <v>416</v>
      </c>
      <c r="F424" s="32">
        <v>45910</v>
      </c>
      <c r="G424" s="32">
        <v>46022</v>
      </c>
      <c r="H424" s="2">
        <v>34680100</v>
      </c>
      <c r="I424" s="2">
        <v>9373000</v>
      </c>
      <c r="J424" s="15">
        <f>6561100+I424+I424</f>
        <v>25307100</v>
      </c>
      <c r="K424" s="3">
        <f t="shared" si="21"/>
        <v>9373000</v>
      </c>
      <c r="L424" s="1">
        <f t="shared" si="22"/>
        <v>0.72972972972972971</v>
      </c>
      <c r="M424" s="34">
        <v>0</v>
      </c>
      <c r="N424" s="2"/>
      <c r="O424" s="31"/>
    </row>
    <row r="425" spans="1:15" ht="160" x14ac:dyDescent="0.2">
      <c r="A425" s="30" t="s">
        <v>996</v>
      </c>
      <c r="B425" s="30" t="s">
        <v>934</v>
      </c>
      <c r="C425" s="30">
        <v>1110534708</v>
      </c>
      <c r="D425" s="6" t="s">
        <v>1065</v>
      </c>
      <c r="E425" s="30">
        <v>417</v>
      </c>
      <c r="F425" s="32">
        <v>45911</v>
      </c>
      <c r="G425" s="32">
        <v>46016</v>
      </c>
      <c r="H425" s="2">
        <v>23432500</v>
      </c>
      <c r="I425" s="2">
        <v>6695000</v>
      </c>
      <c r="J425" s="15">
        <f>4463333+I425+I425</f>
        <v>17853333</v>
      </c>
      <c r="K425" s="3">
        <f t="shared" si="21"/>
        <v>5579167</v>
      </c>
      <c r="L425" s="1">
        <f t="shared" si="22"/>
        <v>0.761904747679505</v>
      </c>
      <c r="M425" s="34">
        <v>0</v>
      </c>
      <c r="N425" s="2"/>
      <c r="O425" s="31"/>
    </row>
    <row r="426" spans="1:15" ht="160" x14ac:dyDescent="0.2">
      <c r="A426" s="30" t="s">
        <v>997</v>
      </c>
      <c r="B426" s="30" t="s">
        <v>934</v>
      </c>
      <c r="C426" s="30">
        <v>26987115</v>
      </c>
      <c r="D426" s="6" t="s">
        <v>1066</v>
      </c>
      <c r="E426" s="30">
        <v>418</v>
      </c>
      <c r="F426" s="32">
        <v>45911</v>
      </c>
      <c r="G426" s="32">
        <v>46016</v>
      </c>
      <c r="H426" s="2">
        <v>23432500</v>
      </c>
      <c r="I426" s="2">
        <v>6695000</v>
      </c>
      <c r="J426" s="15">
        <f>4463333+I426+I426</f>
        <v>17853333</v>
      </c>
      <c r="K426" s="3">
        <f t="shared" si="21"/>
        <v>5579167</v>
      </c>
      <c r="L426" s="1">
        <f t="shared" si="22"/>
        <v>0.761904747679505</v>
      </c>
      <c r="M426" s="34">
        <v>0</v>
      </c>
      <c r="N426" s="2"/>
      <c r="O426" s="31"/>
    </row>
    <row r="427" spans="1:15" ht="144" x14ac:dyDescent="0.2">
      <c r="A427" s="30" t="s">
        <v>998</v>
      </c>
      <c r="B427" s="30" t="s">
        <v>934</v>
      </c>
      <c r="C427" s="30">
        <v>1014183135</v>
      </c>
      <c r="D427" s="6" t="s">
        <v>1067</v>
      </c>
      <c r="E427" s="30">
        <v>419</v>
      </c>
      <c r="F427" s="32">
        <v>45912</v>
      </c>
      <c r="G427" s="32">
        <v>46017</v>
      </c>
      <c r="H427" s="2">
        <v>23432500</v>
      </c>
      <c r="I427" s="2">
        <v>6695000</v>
      </c>
      <c r="J427" s="15">
        <f>4240167+I427+I427</f>
        <v>17630167</v>
      </c>
      <c r="K427" s="3">
        <f t="shared" si="21"/>
        <v>5802333</v>
      </c>
      <c r="L427" s="1">
        <f t="shared" si="22"/>
        <v>0.75238096660620934</v>
      </c>
      <c r="M427" s="34">
        <v>0</v>
      </c>
      <c r="N427" s="2"/>
      <c r="O427" s="31"/>
    </row>
    <row r="428" spans="1:15" ht="176" x14ac:dyDescent="0.2">
      <c r="A428" s="30" t="s">
        <v>999</v>
      </c>
      <c r="B428" s="30" t="s">
        <v>934</v>
      </c>
      <c r="C428" s="30">
        <v>1022363457</v>
      </c>
      <c r="D428" s="30" t="s">
        <v>1068</v>
      </c>
      <c r="E428" s="30">
        <v>420</v>
      </c>
      <c r="F428" s="32">
        <v>45917</v>
      </c>
      <c r="G428" s="32">
        <v>46022</v>
      </c>
      <c r="H428" s="2">
        <v>15103233</v>
      </c>
      <c r="I428" s="2">
        <v>4274500</v>
      </c>
      <c r="J428" s="15">
        <f>1994767+I428+I428</f>
        <v>10543767</v>
      </c>
      <c r="K428" s="3">
        <f t="shared" si="21"/>
        <v>4559466</v>
      </c>
      <c r="L428" s="1">
        <f t="shared" si="22"/>
        <v>0.69811324502508831</v>
      </c>
      <c r="M428" s="34">
        <v>0</v>
      </c>
      <c r="N428" s="2"/>
      <c r="O428" s="31"/>
    </row>
    <row r="429" spans="1:15" ht="157" customHeight="1" x14ac:dyDescent="0.2">
      <c r="A429" s="30" t="s">
        <v>1000</v>
      </c>
      <c r="B429" s="30" t="s">
        <v>933</v>
      </c>
      <c r="C429" s="30">
        <v>860524654</v>
      </c>
      <c r="D429" s="6" t="s">
        <v>1044</v>
      </c>
      <c r="E429" s="30">
        <v>421</v>
      </c>
      <c r="F429" s="32">
        <v>45925</v>
      </c>
      <c r="G429" s="32">
        <v>45936</v>
      </c>
      <c r="H429" s="2">
        <v>5240600</v>
      </c>
      <c r="I429" s="2"/>
      <c r="J429" s="7">
        <v>5240600</v>
      </c>
      <c r="K429" s="3">
        <f t="shared" si="21"/>
        <v>0</v>
      </c>
      <c r="L429" s="1">
        <f t="shared" si="22"/>
        <v>1</v>
      </c>
      <c r="M429" s="34">
        <v>0</v>
      </c>
      <c r="N429" s="2"/>
      <c r="O429" s="31"/>
    </row>
    <row r="430" spans="1:15" ht="96" x14ac:dyDescent="0.2">
      <c r="A430" s="30" t="s">
        <v>1001</v>
      </c>
      <c r="B430" s="30" t="s">
        <v>934</v>
      </c>
      <c r="C430" s="30">
        <v>52149014</v>
      </c>
      <c r="D430" s="6" t="s">
        <v>1069</v>
      </c>
      <c r="E430" s="30">
        <v>422</v>
      </c>
      <c r="F430" s="32">
        <v>45919</v>
      </c>
      <c r="G430" s="32">
        <v>46022</v>
      </c>
      <c r="H430" s="2">
        <v>24994667</v>
      </c>
      <c r="I430" s="2">
        <v>7210000</v>
      </c>
      <c r="J430" s="7">
        <v>2884000</v>
      </c>
      <c r="K430" s="3">
        <f t="shared" si="21"/>
        <v>22110667</v>
      </c>
      <c r="L430" s="1">
        <f t="shared" si="22"/>
        <v>0.11538461384582555</v>
      </c>
      <c r="M430" s="34">
        <v>0</v>
      </c>
      <c r="N430" s="2"/>
      <c r="O430" s="31"/>
    </row>
    <row r="431" spans="1:15" ht="160" x14ac:dyDescent="0.2">
      <c r="A431" s="30" t="s">
        <v>1002</v>
      </c>
      <c r="B431" s="30" t="s">
        <v>1023</v>
      </c>
      <c r="C431" s="30">
        <v>1024547570</v>
      </c>
      <c r="D431" s="6" t="s">
        <v>1070</v>
      </c>
      <c r="E431" s="30">
        <v>423</v>
      </c>
      <c r="F431" s="32">
        <v>45916</v>
      </c>
      <c r="G431" s="32">
        <v>46022</v>
      </c>
      <c r="H431" s="2">
        <v>25235000</v>
      </c>
      <c r="I431" s="2" t="s">
        <v>896</v>
      </c>
      <c r="J431" s="7">
        <v>3605000</v>
      </c>
      <c r="K431" s="3">
        <f t="shared" si="21"/>
        <v>21630000</v>
      </c>
      <c r="L431" s="1">
        <f t="shared" si="22"/>
        <v>0.1428571428571429</v>
      </c>
      <c r="M431" s="34">
        <v>0</v>
      </c>
      <c r="N431" s="2"/>
      <c r="O431" s="31"/>
    </row>
    <row r="432" spans="1:15" ht="32" x14ac:dyDescent="0.2">
      <c r="A432" s="30" t="s">
        <v>1003</v>
      </c>
      <c r="B432" s="30" t="s">
        <v>933</v>
      </c>
      <c r="C432" s="30" t="s">
        <v>1024</v>
      </c>
      <c r="D432" s="6" t="s">
        <v>1045</v>
      </c>
      <c r="E432" s="30">
        <v>424</v>
      </c>
      <c r="F432" s="32">
        <v>45929</v>
      </c>
      <c r="G432" s="32">
        <v>45989</v>
      </c>
      <c r="H432" s="2">
        <v>25277610</v>
      </c>
      <c r="I432" s="2" t="s">
        <v>898</v>
      </c>
      <c r="J432" s="7"/>
      <c r="K432" s="3">
        <f t="shared" si="21"/>
        <v>25277610</v>
      </c>
      <c r="L432" s="1">
        <f t="shared" si="22"/>
        <v>0</v>
      </c>
      <c r="M432" s="34">
        <v>0</v>
      </c>
      <c r="N432" s="2"/>
      <c r="O432" s="31"/>
    </row>
    <row r="433" spans="1:15" ht="160" x14ac:dyDescent="0.2">
      <c r="A433" s="30" t="s">
        <v>1004</v>
      </c>
      <c r="B433" s="30" t="s">
        <v>934</v>
      </c>
      <c r="C433" s="30">
        <v>35475078</v>
      </c>
      <c r="D433" s="6" t="s">
        <v>1071</v>
      </c>
      <c r="E433" s="30">
        <v>425</v>
      </c>
      <c r="F433" s="32">
        <v>45916</v>
      </c>
      <c r="G433" s="32">
        <v>46022</v>
      </c>
      <c r="H433" s="2">
        <v>23432500</v>
      </c>
      <c r="I433" s="2">
        <v>6695000</v>
      </c>
      <c r="J433" s="7">
        <f>I433+I433</f>
        <v>13390000</v>
      </c>
      <c r="K433" s="3">
        <f t="shared" si="21"/>
        <v>10042500</v>
      </c>
      <c r="L433" s="1">
        <f t="shared" si="22"/>
        <v>0.5714285714285714</v>
      </c>
      <c r="M433" s="34">
        <v>0</v>
      </c>
      <c r="N433" s="2"/>
      <c r="O433" s="31"/>
    </row>
    <row r="434" spans="1:15" ht="128" x14ac:dyDescent="0.2">
      <c r="A434" s="30" t="s">
        <v>1005</v>
      </c>
      <c r="B434" s="30" t="s">
        <v>934</v>
      </c>
      <c r="C434" s="30">
        <v>52085416</v>
      </c>
      <c r="D434" s="6" t="s">
        <v>1072</v>
      </c>
      <c r="E434" s="30">
        <v>426</v>
      </c>
      <c r="F434" s="32">
        <v>45917</v>
      </c>
      <c r="G434" s="32">
        <v>46022</v>
      </c>
      <c r="H434" s="2">
        <v>30350667</v>
      </c>
      <c r="I434" s="2">
        <v>8755000</v>
      </c>
      <c r="J434" s="7">
        <f>4085667+I434+I434</f>
        <v>21595667</v>
      </c>
      <c r="K434" s="3">
        <f t="shared" si="21"/>
        <v>8755000</v>
      </c>
      <c r="L434" s="1">
        <f t="shared" si="22"/>
        <v>0.71153846470655813</v>
      </c>
      <c r="M434" s="34">
        <v>0</v>
      </c>
      <c r="N434" s="2"/>
      <c r="O434" s="31"/>
    </row>
    <row r="435" spans="1:15" ht="128" x14ac:dyDescent="0.2">
      <c r="A435" s="30" t="s">
        <v>1006</v>
      </c>
      <c r="B435" s="30" t="s">
        <v>934</v>
      </c>
      <c r="C435" s="30">
        <v>80057847</v>
      </c>
      <c r="D435" s="6" t="s">
        <v>1073</v>
      </c>
      <c r="E435" s="30">
        <v>427</v>
      </c>
      <c r="F435" s="32">
        <v>45918</v>
      </c>
      <c r="G435" s="32">
        <v>46022</v>
      </c>
      <c r="H435" s="2">
        <v>26522500</v>
      </c>
      <c r="I435" s="2">
        <v>7725000</v>
      </c>
      <c r="J435" s="7">
        <f>3347500+I435+I435</f>
        <v>18797500</v>
      </c>
      <c r="K435" s="3">
        <f t="shared" si="21"/>
        <v>7725000</v>
      </c>
      <c r="L435" s="1">
        <f t="shared" si="22"/>
        <v>0.70873786407766992</v>
      </c>
      <c r="M435" s="34">
        <v>0</v>
      </c>
      <c r="N435" s="2"/>
      <c r="O435" s="31"/>
    </row>
    <row r="436" spans="1:15" ht="176" x14ac:dyDescent="0.2">
      <c r="A436" s="30" t="s">
        <v>1007</v>
      </c>
      <c r="B436" s="30" t="s">
        <v>934</v>
      </c>
      <c r="C436" s="30">
        <v>1014195504</v>
      </c>
      <c r="D436" s="6" t="s">
        <v>1074</v>
      </c>
      <c r="E436" s="30">
        <v>428</v>
      </c>
      <c r="F436" s="32">
        <v>45918</v>
      </c>
      <c r="G436" s="32">
        <v>46022</v>
      </c>
      <c r="H436" s="2">
        <v>22986167</v>
      </c>
      <c r="I436" s="2">
        <v>6695000</v>
      </c>
      <c r="J436" s="7">
        <f>2901167+I436+I436</f>
        <v>16291167</v>
      </c>
      <c r="K436" s="3">
        <f t="shared" si="21"/>
        <v>6695000</v>
      </c>
      <c r="L436" s="1">
        <f t="shared" si="22"/>
        <v>0.70873786830140051</v>
      </c>
      <c r="M436" s="34">
        <v>0</v>
      </c>
      <c r="N436" s="2"/>
      <c r="O436" s="31"/>
    </row>
    <row r="437" spans="1:15" ht="144" x14ac:dyDescent="0.2">
      <c r="A437" s="30" t="s">
        <v>1008</v>
      </c>
      <c r="B437" s="30" t="s">
        <v>934</v>
      </c>
      <c r="C437" s="30">
        <v>30508370</v>
      </c>
      <c r="D437" s="6" t="s">
        <v>1075</v>
      </c>
      <c r="E437" s="30">
        <v>429</v>
      </c>
      <c r="F437" s="32">
        <v>45919</v>
      </c>
      <c r="G437" s="32">
        <v>46022</v>
      </c>
      <c r="H437" s="2">
        <v>23209333</v>
      </c>
      <c r="I437" s="2">
        <v>6695000</v>
      </c>
      <c r="J437" s="7">
        <f>6695000+I437</f>
        <v>13390000</v>
      </c>
      <c r="K437" s="3">
        <f>H437-J437</f>
        <v>9819333</v>
      </c>
      <c r="L437" s="1">
        <f t="shared" si="22"/>
        <v>0.57692308520886837</v>
      </c>
      <c r="M437" s="34">
        <v>0</v>
      </c>
      <c r="N437" s="2"/>
      <c r="O437" s="31"/>
    </row>
    <row r="438" spans="1:15" ht="160" x14ac:dyDescent="0.2">
      <c r="A438" s="30" t="s">
        <v>1009</v>
      </c>
      <c r="B438" s="30" t="s">
        <v>934</v>
      </c>
      <c r="C438" s="30">
        <v>1015458546</v>
      </c>
      <c r="D438" s="6" t="s">
        <v>1076</v>
      </c>
      <c r="E438" s="30">
        <v>430</v>
      </c>
      <c r="F438" s="32">
        <v>45918</v>
      </c>
      <c r="G438" s="32">
        <v>46022</v>
      </c>
      <c r="H438" s="2">
        <v>22986167</v>
      </c>
      <c r="I438" s="2">
        <v>6695000</v>
      </c>
      <c r="J438" s="7">
        <f>2901167+I438+I438</f>
        <v>16291167</v>
      </c>
      <c r="K438" s="3">
        <f t="shared" si="21"/>
        <v>6695000</v>
      </c>
      <c r="L438" s="1">
        <f t="shared" si="22"/>
        <v>0.70873786830140051</v>
      </c>
      <c r="M438" s="34">
        <v>0</v>
      </c>
      <c r="N438" s="2"/>
      <c r="O438" s="31"/>
    </row>
    <row r="439" spans="1:15" ht="128" x14ac:dyDescent="0.2">
      <c r="A439" s="30" t="s">
        <v>1010</v>
      </c>
      <c r="B439" s="30" t="s">
        <v>934</v>
      </c>
      <c r="C439" s="30">
        <v>1015395817</v>
      </c>
      <c r="D439" s="6" t="s">
        <v>1046</v>
      </c>
      <c r="E439" s="30">
        <v>431</v>
      </c>
      <c r="F439" s="32">
        <v>45924</v>
      </c>
      <c r="G439" s="32">
        <v>46022</v>
      </c>
      <c r="H439" s="2">
        <v>23552667</v>
      </c>
      <c r="I439" s="2">
        <v>7210000</v>
      </c>
      <c r="J439" s="7">
        <v>1682333</v>
      </c>
      <c r="K439" s="3">
        <f t="shared" si="21"/>
        <v>21870334</v>
      </c>
      <c r="L439" s="1">
        <f t="shared" si="22"/>
        <v>7.1428556264986898E-2</v>
      </c>
      <c r="M439" s="34">
        <v>0</v>
      </c>
      <c r="N439" s="2"/>
      <c r="O439" s="31"/>
    </row>
    <row r="440" spans="1:15" ht="160" x14ac:dyDescent="0.2">
      <c r="A440" s="30" t="s">
        <v>475</v>
      </c>
      <c r="B440" s="30" t="s">
        <v>934</v>
      </c>
      <c r="C440" s="30">
        <v>53036634</v>
      </c>
      <c r="D440" s="6" t="s">
        <v>1077</v>
      </c>
      <c r="E440" s="30">
        <v>432</v>
      </c>
      <c r="F440" s="32">
        <v>45919</v>
      </c>
      <c r="G440" s="32">
        <v>46022</v>
      </c>
      <c r="H440" s="2">
        <v>22763000</v>
      </c>
      <c r="I440" s="2">
        <v>6695000</v>
      </c>
      <c r="J440" s="7">
        <f>1785333+I440+I440</f>
        <v>15175333</v>
      </c>
      <c r="K440" s="3">
        <f t="shared" si="21"/>
        <v>7587667</v>
      </c>
      <c r="L440" s="1">
        <f t="shared" si="22"/>
        <v>0.66666665202301978</v>
      </c>
      <c r="M440" s="34">
        <v>0</v>
      </c>
      <c r="N440" s="2"/>
      <c r="O440" s="31"/>
    </row>
    <row r="441" spans="1:15" ht="128" x14ac:dyDescent="0.2">
      <c r="A441" s="30" t="s">
        <v>1011</v>
      </c>
      <c r="B441" s="30" t="s">
        <v>934</v>
      </c>
      <c r="C441" s="30">
        <v>23497524</v>
      </c>
      <c r="D441" s="6" t="s">
        <v>1078</v>
      </c>
      <c r="E441" s="30">
        <v>433</v>
      </c>
      <c r="F441" s="32">
        <v>45922</v>
      </c>
      <c r="G441" s="32">
        <v>46022</v>
      </c>
      <c r="H441" s="2">
        <v>23793000</v>
      </c>
      <c r="I441" s="2">
        <v>7210000</v>
      </c>
      <c r="J441" s="7">
        <f>2163000+I441+I441</f>
        <v>16583000</v>
      </c>
      <c r="K441" s="3">
        <f t="shared" si="21"/>
        <v>7210000</v>
      </c>
      <c r="L441" s="1">
        <f t="shared" si="22"/>
        <v>0.69696969696969702</v>
      </c>
      <c r="M441" s="34">
        <v>0</v>
      </c>
      <c r="N441" s="2"/>
      <c r="O441" s="31"/>
    </row>
    <row r="442" spans="1:15" ht="112" x14ac:dyDescent="0.2">
      <c r="A442" s="30" t="s">
        <v>1012</v>
      </c>
      <c r="B442" s="30" t="s">
        <v>934</v>
      </c>
      <c r="C442" s="30">
        <v>79883197</v>
      </c>
      <c r="D442" s="6" t="s">
        <v>1079</v>
      </c>
      <c r="E442" s="30">
        <v>434</v>
      </c>
      <c r="F442" s="32">
        <v>45919</v>
      </c>
      <c r="G442" s="32">
        <v>46022</v>
      </c>
      <c r="H442" s="2">
        <v>29767000</v>
      </c>
      <c r="I442" s="2">
        <v>8755000</v>
      </c>
      <c r="J442" s="7">
        <f>3502000+I442+I442</f>
        <v>21012000</v>
      </c>
      <c r="K442" s="3">
        <f t="shared" si="21"/>
        <v>8755000</v>
      </c>
      <c r="L442" s="1">
        <f t="shared" si="22"/>
        <v>0.70588235294117641</v>
      </c>
      <c r="M442" s="34">
        <v>0</v>
      </c>
      <c r="N442" s="2"/>
      <c r="O442" s="31"/>
    </row>
    <row r="443" spans="1:15" ht="64" x14ac:dyDescent="0.2">
      <c r="A443" s="30" t="s">
        <v>817</v>
      </c>
      <c r="B443" s="30" t="s">
        <v>933</v>
      </c>
      <c r="C443" s="30">
        <v>800058607</v>
      </c>
      <c r="D443" s="6" t="s">
        <v>1080</v>
      </c>
      <c r="E443" s="30">
        <v>435</v>
      </c>
      <c r="F443" s="30" t="s">
        <v>965</v>
      </c>
      <c r="G443" s="32">
        <v>46022</v>
      </c>
      <c r="H443" s="2">
        <v>513813254</v>
      </c>
      <c r="I443" s="2" t="s">
        <v>1052</v>
      </c>
      <c r="J443" s="7"/>
      <c r="K443" s="3">
        <f t="shared" si="21"/>
        <v>513813254</v>
      </c>
      <c r="L443" s="1">
        <f t="shared" si="22"/>
        <v>0</v>
      </c>
      <c r="M443" s="34">
        <v>0</v>
      </c>
      <c r="N443" s="2"/>
      <c r="O443" s="31"/>
    </row>
    <row r="444" spans="1:15" ht="112" x14ac:dyDescent="0.2">
      <c r="A444" s="30" t="s">
        <v>1013</v>
      </c>
      <c r="B444" s="30" t="s">
        <v>934</v>
      </c>
      <c r="C444" s="30">
        <v>1085323720</v>
      </c>
      <c r="D444" s="6" t="s">
        <v>1081</v>
      </c>
      <c r="E444" s="30">
        <v>436</v>
      </c>
      <c r="F444" s="32">
        <v>45922</v>
      </c>
      <c r="G444" s="32">
        <v>46019</v>
      </c>
      <c r="H444" s="2">
        <v>11000000</v>
      </c>
      <c r="I444" s="2" t="s">
        <v>1053</v>
      </c>
      <c r="J444" s="7"/>
      <c r="K444" s="3">
        <f t="shared" si="21"/>
        <v>11000000</v>
      </c>
      <c r="L444" s="1">
        <f t="shared" si="22"/>
        <v>0</v>
      </c>
      <c r="M444" s="34">
        <v>0</v>
      </c>
      <c r="N444" s="2"/>
      <c r="O444" s="31"/>
    </row>
    <row r="445" spans="1:15" ht="96" x14ac:dyDescent="0.2">
      <c r="A445" s="30" t="s">
        <v>1014</v>
      </c>
      <c r="B445" s="30" t="s">
        <v>934</v>
      </c>
      <c r="C445" s="30">
        <v>8029911</v>
      </c>
      <c r="D445" s="6" t="s">
        <v>1082</v>
      </c>
      <c r="E445" s="30">
        <v>437</v>
      </c>
      <c r="F445" s="32">
        <v>45922</v>
      </c>
      <c r="G445" s="32">
        <v>46022</v>
      </c>
      <c r="H445" s="2">
        <v>20394000</v>
      </c>
      <c r="I445" s="2">
        <v>6180000</v>
      </c>
      <c r="J445" s="7">
        <f>1854000+I445+I445</f>
        <v>14214000</v>
      </c>
      <c r="K445" s="3">
        <f t="shared" si="21"/>
        <v>6180000</v>
      </c>
      <c r="L445" s="1">
        <f t="shared" si="22"/>
        <v>0.69696969696969702</v>
      </c>
      <c r="M445" s="34">
        <v>0</v>
      </c>
      <c r="N445" s="2"/>
      <c r="O445" s="31"/>
    </row>
    <row r="446" spans="1:15" ht="160" x14ac:dyDescent="0.2">
      <c r="A446" s="30" t="s">
        <v>1015</v>
      </c>
      <c r="B446" s="30" t="s">
        <v>934</v>
      </c>
      <c r="C446" s="30">
        <v>1015452243</v>
      </c>
      <c r="D446" s="6" t="s">
        <v>1083</v>
      </c>
      <c r="E446" s="30">
        <v>438</v>
      </c>
      <c r="F446" s="32">
        <v>45924</v>
      </c>
      <c r="G446" s="32">
        <v>46022</v>
      </c>
      <c r="H446" s="2">
        <v>14986500</v>
      </c>
      <c r="I446" s="2">
        <v>4635000</v>
      </c>
      <c r="J446" s="7">
        <f>1081500+I446+I446</f>
        <v>10351500</v>
      </c>
      <c r="K446" s="3">
        <f t="shared" si="21"/>
        <v>4635000</v>
      </c>
      <c r="L446" s="1">
        <f t="shared" si="22"/>
        <v>0.69072164948453607</v>
      </c>
      <c r="M446" s="34">
        <v>0</v>
      </c>
      <c r="N446" s="2"/>
      <c r="O446" s="31"/>
    </row>
    <row r="447" spans="1:15" ht="96" x14ac:dyDescent="0.2">
      <c r="A447" s="30" t="s">
        <v>1016</v>
      </c>
      <c r="B447" s="30" t="s">
        <v>934</v>
      </c>
      <c r="C447" s="30">
        <v>79629653</v>
      </c>
      <c r="D447" s="6" t="s">
        <v>1084</v>
      </c>
      <c r="E447" s="30">
        <v>439</v>
      </c>
      <c r="F447" s="32">
        <v>45926</v>
      </c>
      <c r="G447" s="32">
        <v>46022</v>
      </c>
      <c r="H447" s="2">
        <v>34608000</v>
      </c>
      <c r="I447" s="2">
        <v>10815000</v>
      </c>
      <c r="J447" s="7">
        <f>I447+I447</f>
        <v>21630000</v>
      </c>
      <c r="K447" s="3">
        <f t="shared" si="21"/>
        <v>12978000</v>
      </c>
      <c r="L447" s="1">
        <f t="shared" si="22"/>
        <v>0.625</v>
      </c>
      <c r="M447" s="34">
        <v>0</v>
      </c>
      <c r="N447" s="2"/>
      <c r="O447" s="31"/>
    </row>
    <row r="448" spans="1:15" ht="112" x14ac:dyDescent="0.2">
      <c r="A448" s="30" t="s">
        <v>1017</v>
      </c>
      <c r="B448" s="30" t="s">
        <v>934</v>
      </c>
      <c r="C448" s="30">
        <v>79842471</v>
      </c>
      <c r="D448" s="6" t="s">
        <v>1085</v>
      </c>
      <c r="E448" s="30">
        <v>440</v>
      </c>
      <c r="F448" s="32">
        <v>45936</v>
      </c>
      <c r="G448" s="32">
        <v>46022</v>
      </c>
      <c r="H448" s="2">
        <v>22831667</v>
      </c>
      <c r="I448" s="2">
        <v>7210000</v>
      </c>
      <c r="J448" s="7">
        <f>I448+I448</f>
        <v>14420000</v>
      </c>
      <c r="K448" s="3">
        <f t="shared" si="21"/>
        <v>8411667</v>
      </c>
      <c r="L448" s="1">
        <f t="shared" si="22"/>
        <v>0.63157893814761756</v>
      </c>
      <c r="M448" s="34">
        <v>0</v>
      </c>
      <c r="N448" s="2"/>
      <c r="O448" s="31"/>
    </row>
    <row r="449" spans="1:15" ht="96" x14ac:dyDescent="0.2">
      <c r="A449" s="30" t="s">
        <v>1018</v>
      </c>
      <c r="B449" s="30" t="s">
        <v>934</v>
      </c>
      <c r="C449" s="30">
        <v>1031172654</v>
      </c>
      <c r="D449" s="6" t="s">
        <v>1086</v>
      </c>
      <c r="E449" s="30">
        <v>441</v>
      </c>
      <c r="F449" s="32">
        <v>45931</v>
      </c>
      <c r="G449" s="32">
        <v>46022</v>
      </c>
      <c r="H449" s="2">
        <v>14677500</v>
      </c>
      <c r="I449" s="2">
        <v>4635000</v>
      </c>
      <c r="J449" s="7">
        <f>I449+I449</f>
        <v>9270000</v>
      </c>
      <c r="K449" s="3">
        <f t="shared" si="21"/>
        <v>5407500</v>
      </c>
      <c r="L449" s="1">
        <f t="shared" si="22"/>
        <v>0.63157894736842102</v>
      </c>
      <c r="M449" s="34">
        <v>0</v>
      </c>
      <c r="N449" s="2"/>
      <c r="O449" s="31"/>
    </row>
    <row r="450" spans="1:15" ht="128" x14ac:dyDescent="0.2">
      <c r="A450" s="30" t="s">
        <v>472</v>
      </c>
      <c r="B450" s="30" t="s">
        <v>934</v>
      </c>
      <c r="C450" s="30">
        <v>56098544</v>
      </c>
      <c r="D450" s="6" t="s">
        <v>1087</v>
      </c>
      <c r="E450" s="30">
        <v>442</v>
      </c>
      <c r="F450" s="32">
        <v>45924</v>
      </c>
      <c r="G450" s="32">
        <v>46022</v>
      </c>
      <c r="H450" s="2">
        <v>18316833</v>
      </c>
      <c r="I450" s="2" t="s">
        <v>1049</v>
      </c>
      <c r="J450" s="7">
        <f>1321833+I450+I450</f>
        <v>12651833</v>
      </c>
      <c r="K450" s="3">
        <f t="shared" si="21"/>
        <v>5665000</v>
      </c>
      <c r="L450" s="1">
        <f t="shared" si="22"/>
        <v>0.69072164385622781</v>
      </c>
      <c r="M450" s="34">
        <v>0</v>
      </c>
      <c r="N450" s="2"/>
      <c r="O450" s="31"/>
    </row>
    <row r="451" spans="1:15" ht="128" x14ac:dyDescent="0.2">
      <c r="A451" s="30" t="s">
        <v>1019</v>
      </c>
      <c r="B451" s="30" t="s">
        <v>934</v>
      </c>
      <c r="C451" s="30">
        <v>52911930</v>
      </c>
      <c r="D451" s="6" t="s">
        <v>1088</v>
      </c>
      <c r="E451" s="30">
        <v>443</v>
      </c>
      <c r="F451" s="32">
        <v>45933</v>
      </c>
      <c r="G451" s="32">
        <v>46022</v>
      </c>
      <c r="H451" s="2">
        <v>11742000</v>
      </c>
      <c r="I451" s="2">
        <v>3708000</v>
      </c>
      <c r="J451" s="7">
        <f>3708000+I451</f>
        <v>7416000</v>
      </c>
      <c r="K451" s="3">
        <f t="shared" si="21"/>
        <v>4326000</v>
      </c>
      <c r="L451" s="1">
        <f t="shared" si="22"/>
        <v>0.63157894736842102</v>
      </c>
      <c r="M451" s="34">
        <v>0</v>
      </c>
      <c r="N451" s="2"/>
      <c r="O451" s="31"/>
    </row>
    <row r="452" spans="1:15" ht="80" x14ac:dyDescent="0.2">
      <c r="A452" s="30" t="s">
        <v>1020</v>
      </c>
      <c r="B452" s="30" t="s">
        <v>933</v>
      </c>
      <c r="C452" s="30">
        <v>900418656</v>
      </c>
      <c r="D452" s="6" t="s">
        <v>1089</v>
      </c>
      <c r="E452" s="30">
        <v>444</v>
      </c>
      <c r="F452" s="32">
        <v>45932</v>
      </c>
      <c r="G452" s="32">
        <v>46006</v>
      </c>
      <c r="H452" s="2">
        <v>362215865</v>
      </c>
      <c r="I452" s="2" t="s">
        <v>1052</v>
      </c>
      <c r="J452" s="7"/>
      <c r="K452" s="3">
        <f t="shared" si="21"/>
        <v>362215865</v>
      </c>
      <c r="L452" s="1">
        <f t="shared" si="22"/>
        <v>0</v>
      </c>
      <c r="M452" s="34">
        <v>0</v>
      </c>
      <c r="N452" s="2"/>
      <c r="O452" s="31"/>
    </row>
    <row r="453" spans="1:15" ht="64" x14ac:dyDescent="0.2">
      <c r="A453" s="30" t="s">
        <v>1021</v>
      </c>
      <c r="B453" s="30" t="s">
        <v>933</v>
      </c>
      <c r="C453" s="30">
        <v>830080498</v>
      </c>
      <c r="D453" s="6" t="s">
        <v>1090</v>
      </c>
      <c r="E453" s="30">
        <v>445</v>
      </c>
      <c r="F453" s="32">
        <v>45932</v>
      </c>
      <c r="G453" s="32">
        <v>46006</v>
      </c>
      <c r="H453" s="2">
        <v>170627571</v>
      </c>
      <c r="I453" s="2" t="s">
        <v>898</v>
      </c>
      <c r="J453" s="7">
        <f>24329995.06+24329995.06</f>
        <v>48659990.119999997</v>
      </c>
      <c r="K453" s="3">
        <f t="shared" si="21"/>
        <v>121967580.88</v>
      </c>
      <c r="L453" s="1">
        <f t="shared" si="22"/>
        <v>0.28518245811516596</v>
      </c>
      <c r="M453" s="34">
        <v>0</v>
      </c>
      <c r="N453" s="2"/>
      <c r="O453" s="31"/>
    </row>
    <row r="454" spans="1:15" ht="176" x14ac:dyDescent="0.2">
      <c r="A454" s="30" t="s">
        <v>1022</v>
      </c>
      <c r="B454" s="30" t="s">
        <v>934</v>
      </c>
      <c r="C454" s="30">
        <v>79757869</v>
      </c>
      <c r="D454" s="6" t="s">
        <v>1091</v>
      </c>
      <c r="E454" s="30">
        <v>446</v>
      </c>
      <c r="F454" s="32">
        <v>45929</v>
      </c>
      <c r="G454" s="32">
        <v>46022</v>
      </c>
      <c r="H454" s="2">
        <v>23312333</v>
      </c>
      <c r="I454" s="2">
        <v>7210000</v>
      </c>
      <c r="J454" s="7">
        <f>I454+480667+480667+I454</f>
        <v>15381334</v>
      </c>
      <c r="K454" s="3">
        <f>H454-J454</f>
        <v>7930999</v>
      </c>
      <c r="L454" s="1">
        <f t="shared" si="22"/>
        <v>0.6597938524642728</v>
      </c>
      <c r="M454" s="34">
        <v>0</v>
      </c>
      <c r="N454" s="2"/>
      <c r="O454" s="31"/>
    </row>
    <row r="455" spans="1:15" ht="128" x14ac:dyDescent="0.2">
      <c r="A455" s="30" t="s">
        <v>1093</v>
      </c>
      <c r="B455" s="30" t="s">
        <v>934</v>
      </c>
      <c r="C455" s="30">
        <v>53029918</v>
      </c>
      <c r="D455" s="6" t="s">
        <v>1143</v>
      </c>
      <c r="E455" s="30">
        <v>447</v>
      </c>
      <c r="F455" s="32">
        <v>45931</v>
      </c>
      <c r="G455" s="32">
        <v>46022</v>
      </c>
      <c r="H455" s="2">
        <v>16995000</v>
      </c>
      <c r="I455" s="26" t="s">
        <v>1049</v>
      </c>
      <c r="J455" s="17">
        <f>5665000+I455</f>
        <v>11330000</v>
      </c>
      <c r="K455" s="3">
        <f>H455-J455</f>
        <v>5665000</v>
      </c>
      <c r="L455" s="1">
        <f>1-(K455/H455)</f>
        <v>0.66666666666666674</v>
      </c>
      <c r="M455" s="34"/>
      <c r="N455" s="38"/>
      <c r="O455" s="38"/>
    </row>
    <row r="456" spans="1:15" ht="112" x14ac:dyDescent="0.2">
      <c r="A456" s="30" t="s">
        <v>1094</v>
      </c>
      <c r="B456" s="30" t="s">
        <v>934</v>
      </c>
      <c r="C456" s="30">
        <v>1073512276</v>
      </c>
      <c r="D456" s="6" t="s">
        <v>1144</v>
      </c>
      <c r="E456" s="30">
        <v>448</v>
      </c>
      <c r="F456" s="32">
        <v>45931</v>
      </c>
      <c r="G456" s="32">
        <v>46022</v>
      </c>
      <c r="H456" s="2">
        <v>21630000</v>
      </c>
      <c r="I456" s="26">
        <v>7210000</v>
      </c>
      <c r="J456" s="18">
        <f>7210000+I456</f>
        <v>14420000</v>
      </c>
      <c r="K456" s="3">
        <f t="shared" ref="K456:K502" si="23">H456-J456</f>
        <v>7210000</v>
      </c>
      <c r="L456" s="1">
        <f t="shared" ref="L456:L502" si="24">1-(K456/H456)</f>
        <v>0.66666666666666674</v>
      </c>
      <c r="M456" s="34"/>
      <c r="N456" s="38"/>
      <c r="O456" s="38"/>
    </row>
    <row r="457" spans="1:15" ht="160" x14ac:dyDescent="0.2">
      <c r="A457" s="30" t="s">
        <v>1095</v>
      </c>
      <c r="B457" s="30" t="s">
        <v>934</v>
      </c>
      <c r="C457" s="30">
        <v>1020804012</v>
      </c>
      <c r="D457" s="6" t="s">
        <v>1145</v>
      </c>
      <c r="E457" s="30">
        <v>449</v>
      </c>
      <c r="F457" s="32">
        <v>45931</v>
      </c>
      <c r="G457" s="32">
        <v>46022</v>
      </c>
      <c r="H457" s="2">
        <v>20085000</v>
      </c>
      <c r="I457" s="26">
        <v>6695000</v>
      </c>
      <c r="J457" s="18">
        <f>6695000+I457</f>
        <v>13390000</v>
      </c>
      <c r="K457" s="3">
        <f t="shared" si="23"/>
        <v>6695000</v>
      </c>
      <c r="L457" s="1">
        <f t="shared" si="24"/>
        <v>0.66666666666666674</v>
      </c>
      <c r="M457" s="34"/>
      <c r="N457" s="38"/>
      <c r="O457" s="38"/>
    </row>
    <row r="458" spans="1:15" ht="128" x14ac:dyDescent="0.2">
      <c r="A458" s="30" t="s">
        <v>1096</v>
      </c>
      <c r="B458" s="30" t="s">
        <v>934</v>
      </c>
      <c r="C458" s="30">
        <v>80227524</v>
      </c>
      <c r="D458" s="6" t="s">
        <v>1146</v>
      </c>
      <c r="E458" s="30">
        <v>450</v>
      </c>
      <c r="F458" s="32">
        <v>45931</v>
      </c>
      <c r="G458" s="32">
        <v>46022</v>
      </c>
      <c r="H458" s="2">
        <v>24720000</v>
      </c>
      <c r="I458" s="26">
        <v>8240000</v>
      </c>
      <c r="J458" s="18">
        <f>8240000+I458</f>
        <v>16480000</v>
      </c>
      <c r="K458" s="3">
        <f t="shared" si="23"/>
        <v>8240000</v>
      </c>
      <c r="L458" s="1">
        <f t="shared" si="24"/>
        <v>0.66666666666666674</v>
      </c>
      <c r="M458" s="34"/>
      <c r="N458" s="38"/>
      <c r="O458" s="38"/>
    </row>
    <row r="459" spans="1:15" ht="96" x14ac:dyDescent="0.2">
      <c r="A459" s="30" t="s">
        <v>1097</v>
      </c>
      <c r="B459" s="30" t="s">
        <v>934</v>
      </c>
      <c r="C459" s="30">
        <v>53061064</v>
      </c>
      <c r="D459" s="6" t="s">
        <v>1147</v>
      </c>
      <c r="E459" s="30">
        <v>451</v>
      </c>
      <c r="F459" s="32">
        <v>45933</v>
      </c>
      <c r="G459" s="32">
        <v>46022</v>
      </c>
      <c r="H459" s="2">
        <v>28119000</v>
      </c>
      <c r="I459" s="26">
        <v>9373000</v>
      </c>
      <c r="J459" s="18">
        <f>9373000+I459</f>
        <v>18746000</v>
      </c>
      <c r="K459" s="3">
        <f t="shared" si="23"/>
        <v>9373000</v>
      </c>
      <c r="L459" s="1">
        <f t="shared" si="24"/>
        <v>0.66666666666666674</v>
      </c>
      <c r="M459" s="34"/>
      <c r="N459" s="38"/>
      <c r="O459" s="38"/>
    </row>
    <row r="460" spans="1:15" ht="96" x14ac:dyDescent="0.2">
      <c r="A460" s="30" t="s">
        <v>1098</v>
      </c>
      <c r="B460" s="30" t="s">
        <v>934</v>
      </c>
      <c r="C460" s="30">
        <v>80192872</v>
      </c>
      <c r="D460" s="6" t="s">
        <v>1148</v>
      </c>
      <c r="E460" s="30">
        <v>452</v>
      </c>
      <c r="F460" s="32">
        <v>45936</v>
      </c>
      <c r="G460" s="32">
        <v>46022</v>
      </c>
      <c r="H460" s="2">
        <v>18969167</v>
      </c>
      <c r="I460" s="26">
        <v>6695000</v>
      </c>
      <c r="J460" s="18">
        <f>6695000+I460</f>
        <v>13390000</v>
      </c>
      <c r="K460" s="3">
        <f t="shared" si="23"/>
        <v>5579167</v>
      </c>
      <c r="L460" s="1">
        <f t="shared" si="24"/>
        <v>0.70588234053714638</v>
      </c>
      <c r="M460" s="34"/>
      <c r="N460" s="38"/>
      <c r="O460" s="38"/>
    </row>
    <row r="461" spans="1:15" ht="80" x14ac:dyDescent="0.2">
      <c r="A461" s="30" t="s">
        <v>1099</v>
      </c>
      <c r="B461" s="30" t="s">
        <v>1142</v>
      </c>
      <c r="C461" s="30">
        <v>830077655</v>
      </c>
      <c r="D461" s="6" t="s">
        <v>1149</v>
      </c>
      <c r="E461" s="37">
        <v>453</v>
      </c>
      <c r="F461" s="32">
        <v>45950</v>
      </c>
      <c r="G461" s="32">
        <v>45980</v>
      </c>
      <c r="H461" s="2">
        <v>6200000</v>
      </c>
      <c r="I461" s="26" t="s">
        <v>898</v>
      </c>
      <c r="J461" s="18"/>
      <c r="K461" s="3">
        <f t="shared" si="23"/>
        <v>6200000</v>
      </c>
      <c r="L461" s="1">
        <f t="shared" si="24"/>
        <v>0</v>
      </c>
      <c r="M461" s="34"/>
      <c r="N461" s="38"/>
      <c r="O461" s="38"/>
    </row>
    <row r="462" spans="1:15" ht="80" x14ac:dyDescent="0.2">
      <c r="A462" s="30" t="s">
        <v>1100</v>
      </c>
      <c r="B462" s="30" t="s">
        <v>1142</v>
      </c>
      <c r="C462" s="30">
        <v>804000673</v>
      </c>
      <c r="D462" s="6" t="s">
        <v>1149</v>
      </c>
      <c r="E462" s="37">
        <v>454</v>
      </c>
      <c r="F462" s="32">
        <v>45950</v>
      </c>
      <c r="G462" s="32">
        <v>45980</v>
      </c>
      <c r="H462" s="2">
        <v>18250000</v>
      </c>
      <c r="I462" s="26" t="s">
        <v>898</v>
      </c>
      <c r="J462" s="18"/>
      <c r="K462" s="3">
        <f t="shared" si="23"/>
        <v>18250000</v>
      </c>
      <c r="L462" s="1">
        <f t="shared" si="24"/>
        <v>0</v>
      </c>
      <c r="M462" s="34"/>
      <c r="N462" s="38"/>
      <c r="O462" s="38"/>
    </row>
    <row r="463" spans="1:15" ht="80" x14ac:dyDescent="0.2">
      <c r="A463" s="50" t="s">
        <v>1101</v>
      </c>
      <c r="B463" s="30" t="s">
        <v>1142</v>
      </c>
      <c r="C463" s="50">
        <v>90036566</v>
      </c>
      <c r="D463" s="16" t="s">
        <v>1149</v>
      </c>
      <c r="E463" s="56">
        <v>455</v>
      </c>
      <c r="F463" s="32">
        <v>45950</v>
      </c>
      <c r="G463" s="32">
        <v>45980</v>
      </c>
      <c r="H463" s="28">
        <v>1954249</v>
      </c>
      <c r="I463" s="29" t="s">
        <v>1052</v>
      </c>
      <c r="J463" s="18"/>
      <c r="K463" s="3">
        <f t="shared" si="23"/>
        <v>1954249</v>
      </c>
      <c r="L463" s="1">
        <f t="shared" si="24"/>
        <v>0</v>
      </c>
      <c r="M463" s="34"/>
      <c r="N463" s="38"/>
      <c r="O463" s="38"/>
    </row>
    <row r="464" spans="1:15" ht="96" x14ac:dyDescent="0.2">
      <c r="A464" s="30" t="s">
        <v>1102</v>
      </c>
      <c r="B464" s="30" t="s">
        <v>1142</v>
      </c>
      <c r="C464" s="30">
        <v>800237412</v>
      </c>
      <c r="D464" s="6" t="s">
        <v>1150</v>
      </c>
      <c r="E464" s="30">
        <v>456</v>
      </c>
      <c r="F464" s="32">
        <v>45950</v>
      </c>
      <c r="G464" s="32">
        <v>45980</v>
      </c>
      <c r="H464" s="2">
        <v>8438290</v>
      </c>
      <c r="I464" s="26" t="s">
        <v>898</v>
      </c>
      <c r="J464" s="18"/>
      <c r="K464" s="3">
        <f t="shared" si="23"/>
        <v>8438290</v>
      </c>
      <c r="L464" s="1">
        <f t="shared" si="24"/>
        <v>0</v>
      </c>
      <c r="M464" s="34"/>
      <c r="N464" s="38"/>
      <c r="O464" s="38"/>
    </row>
    <row r="465" spans="1:15" ht="80" x14ac:dyDescent="0.2">
      <c r="A465" s="30" t="s">
        <v>1103</v>
      </c>
      <c r="B465" s="30" t="s">
        <v>934</v>
      </c>
      <c r="C465" s="30">
        <v>1010044303</v>
      </c>
      <c r="D465" s="6" t="s">
        <v>1151</v>
      </c>
      <c r="E465" s="30">
        <v>457</v>
      </c>
      <c r="F465" s="32">
        <v>45947</v>
      </c>
      <c r="G465" s="32">
        <v>46022</v>
      </c>
      <c r="H465" s="2">
        <v>8910000</v>
      </c>
      <c r="I465" s="26">
        <v>8910000</v>
      </c>
      <c r="J465" s="18">
        <f>3300000+3300000</f>
        <v>6600000</v>
      </c>
      <c r="K465" s="3">
        <f t="shared" si="23"/>
        <v>2310000</v>
      </c>
      <c r="L465" s="1">
        <f t="shared" si="24"/>
        <v>0.7407407407407407</v>
      </c>
      <c r="M465" s="34"/>
      <c r="N465" s="38"/>
      <c r="O465" s="38"/>
    </row>
    <row r="466" spans="1:15" s="51" customFormat="1" ht="96" x14ac:dyDescent="0.2">
      <c r="A466" s="30" t="s">
        <v>1104</v>
      </c>
      <c r="B466" s="30" t="s">
        <v>934</v>
      </c>
      <c r="C466" s="30">
        <v>52460140</v>
      </c>
      <c r="D466" s="6" t="s">
        <v>1152</v>
      </c>
      <c r="E466" s="30">
        <v>458</v>
      </c>
      <c r="F466" s="32">
        <v>45944</v>
      </c>
      <c r="G466" s="32">
        <v>46022</v>
      </c>
      <c r="H466" s="23">
        <v>19827500</v>
      </c>
      <c r="I466" s="24">
        <v>7725000</v>
      </c>
      <c r="J466" s="18">
        <f>I466+I466</f>
        <v>15450000</v>
      </c>
      <c r="K466" s="3">
        <f t="shared" si="23"/>
        <v>4377500</v>
      </c>
      <c r="L466" s="1">
        <f t="shared" si="24"/>
        <v>0.77922077922077926</v>
      </c>
      <c r="M466" s="34"/>
      <c r="N466" s="38"/>
      <c r="O466" s="38"/>
    </row>
    <row r="467" spans="1:15" s="54" customFormat="1" ht="144" x14ac:dyDescent="0.2">
      <c r="A467" s="30" t="s">
        <v>1105</v>
      </c>
      <c r="B467" s="30" t="s">
        <v>934</v>
      </c>
      <c r="C467" s="30">
        <v>93387731</v>
      </c>
      <c r="D467" s="6" t="s">
        <v>1153</v>
      </c>
      <c r="E467" s="30">
        <v>459</v>
      </c>
      <c r="F467" s="32">
        <v>45937</v>
      </c>
      <c r="G467" s="32">
        <v>45997</v>
      </c>
      <c r="H467" s="52">
        <v>20600000</v>
      </c>
      <c r="I467" s="53">
        <v>10300000</v>
      </c>
      <c r="J467" s="18">
        <f>I467+I467</f>
        <v>20600000</v>
      </c>
      <c r="K467" s="3">
        <f t="shared" si="23"/>
        <v>0</v>
      </c>
      <c r="L467" s="1">
        <f t="shared" si="24"/>
        <v>1</v>
      </c>
      <c r="M467" s="34"/>
      <c r="N467" s="38"/>
      <c r="O467" s="38"/>
    </row>
    <row r="468" spans="1:15" ht="48" x14ac:dyDescent="0.2">
      <c r="A468" s="45" t="s">
        <v>1106</v>
      </c>
      <c r="B468" s="45" t="s">
        <v>1142</v>
      </c>
      <c r="C468" s="45">
        <v>900482818</v>
      </c>
      <c r="D468" s="62" t="s">
        <v>1154</v>
      </c>
      <c r="E468" s="45">
        <v>460</v>
      </c>
      <c r="F468" s="63">
        <v>45953</v>
      </c>
      <c r="G468" s="63">
        <v>46006</v>
      </c>
      <c r="H468" s="23">
        <v>76379445.299999997</v>
      </c>
      <c r="I468" s="24"/>
      <c r="J468" s="64"/>
      <c r="K468" s="65">
        <f t="shared" si="23"/>
        <v>76379445.299999997</v>
      </c>
      <c r="L468" s="66">
        <f t="shared" si="24"/>
        <v>0</v>
      </c>
      <c r="M468" s="67"/>
      <c r="N468" s="68"/>
      <c r="O468" s="68"/>
    </row>
    <row r="469" spans="1:15" ht="160" x14ac:dyDescent="0.2">
      <c r="A469" s="30" t="s">
        <v>1107</v>
      </c>
      <c r="B469" s="30" t="s">
        <v>934</v>
      </c>
      <c r="C469" s="30">
        <v>1090427583</v>
      </c>
      <c r="D469" s="6" t="s">
        <v>1155</v>
      </c>
      <c r="E469" s="30">
        <v>461</v>
      </c>
      <c r="F469" s="32">
        <v>45944</v>
      </c>
      <c r="G469" s="32">
        <v>46022</v>
      </c>
      <c r="H469" s="21">
        <v>17183833</v>
      </c>
      <c r="I469" s="22">
        <v>6695000</v>
      </c>
      <c r="J469" s="55">
        <f>3793833+3793833</f>
        <v>7587666</v>
      </c>
      <c r="K469" s="3">
        <f t="shared" si="23"/>
        <v>9596167</v>
      </c>
      <c r="L469" s="1">
        <f t="shared" si="24"/>
        <v>0.4415584113276706</v>
      </c>
      <c r="M469" s="34"/>
      <c r="N469" s="38"/>
      <c r="O469" s="38"/>
    </row>
    <row r="470" spans="1:15" ht="128" x14ac:dyDescent="0.2">
      <c r="A470" s="30" t="s">
        <v>1108</v>
      </c>
      <c r="B470" s="30" t="s">
        <v>934</v>
      </c>
      <c r="C470" s="30">
        <v>1066000740</v>
      </c>
      <c r="D470" s="6" t="s">
        <v>1156</v>
      </c>
      <c r="E470" s="30">
        <v>462</v>
      </c>
      <c r="F470" s="32">
        <v>45940</v>
      </c>
      <c r="G470" s="32">
        <v>46022</v>
      </c>
      <c r="H470" s="21">
        <v>12514500</v>
      </c>
      <c r="I470" s="22">
        <v>4635000</v>
      </c>
      <c r="J470" s="55">
        <f>4635000+I470</f>
        <v>9270000</v>
      </c>
      <c r="K470" s="3">
        <f t="shared" si="23"/>
        <v>3244500</v>
      </c>
      <c r="L470" s="1">
        <f t="shared" si="24"/>
        <v>0.7407407407407407</v>
      </c>
      <c r="M470" s="34"/>
      <c r="N470" s="38"/>
      <c r="O470" s="38"/>
    </row>
    <row r="471" spans="1:15" ht="96" x14ac:dyDescent="0.2">
      <c r="A471" s="30" t="s">
        <v>1109</v>
      </c>
      <c r="B471" s="30" t="s">
        <v>934</v>
      </c>
      <c r="C471" s="30">
        <v>51908699</v>
      </c>
      <c r="D471" s="6" t="s">
        <v>1157</v>
      </c>
      <c r="E471" s="30">
        <v>463</v>
      </c>
      <c r="F471" s="32">
        <v>45946</v>
      </c>
      <c r="G471" s="32">
        <v>46022</v>
      </c>
      <c r="H471" s="21">
        <v>17183833</v>
      </c>
      <c r="I471" s="22">
        <v>17183833</v>
      </c>
      <c r="J471" s="18"/>
      <c r="K471" s="3">
        <f t="shared" si="23"/>
        <v>17183833</v>
      </c>
      <c r="L471" s="1">
        <f t="shared" si="24"/>
        <v>0</v>
      </c>
      <c r="M471" s="34"/>
      <c r="N471" s="38"/>
      <c r="O471" s="38"/>
    </row>
    <row r="472" spans="1:15" ht="160" x14ac:dyDescent="0.2">
      <c r="A472" s="30" t="s">
        <v>1110</v>
      </c>
      <c r="B472" s="30" t="s">
        <v>934</v>
      </c>
      <c r="C472" s="30">
        <v>39679116</v>
      </c>
      <c r="D472" s="6" t="s">
        <v>1158</v>
      </c>
      <c r="E472" s="30">
        <v>464</v>
      </c>
      <c r="F472" s="32">
        <v>45944</v>
      </c>
      <c r="G472" s="32">
        <v>46022</v>
      </c>
      <c r="H472" s="21">
        <v>11896500</v>
      </c>
      <c r="I472" s="22">
        <v>4635000</v>
      </c>
      <c r="J472" s="18">
        <f>4635000+I472</f>
        <v>9270000</v>
      </c>
      <c r="K472" s="3">
        <f t="shared" si="23"/>
        <v>2626500</v>
      </c>
      <c r="L472" s="1">
        <f t="shared" si="24"/>
        <v>0.77922077922077926</v>
      </c>
      <c r="M472" s="34"/>
      <c r="N472" s="38"/>
      <c r="O472" s="38"/>
    </row>
    <row r="473" spans="1:15" ht="128" x14ac:dyDescent="0.2">
      <c r="A473" s="30" t="s">
        <v>1111</v>
      </c>
      <c r="B473" s="30" t="s">
        <v>934</v>
      </c>
      <c r="C473" s="30">
        <v>1125682399</v>
      </c>
      <c r="D473" s="6" t="s">
        <v>1159</v>
      </c>
      <c r="E473" s="30">
        <v>465</v>
      </c>
      <c r="F473" s="32">
        <v>45944</v>
      </c>
      <c r="G473" s="32">
        <v>46022</v>
      </c>
      <c r="H473" s="21">
        <v>18505667</v>
      </c>
      <c r="I473" s="22" t="s">
        <v>1191</v>
      </c>
      <c r="J473" s="18"/>
      <c r="K473" s="3">
        <f t="shared" si="23"/>
        <v>18505667</v>
      </c>
      <c r="L473" s="1">
        <f t="shared" si="24"/>
        <v>0</v>
      </c>
      <c r="M473" s="34"/>
      <c r="N473" s="38"/>
      <c r="O473" s="38"/>
    </row>
    <row r="474" spans="1:15" ht="64" x14ac:dyDescent="0.2">
      <c r="A474" s="30" t="s">
        <v>1112</v>
      </c>
      <c r="B474" s="30" t="s">
        <v>1142</v>
      </c>
      <c r="C474" s="30">
        <v>900039405</v>
      </c>
      <c r="D474" s="6" t="s">
        <v>1160</v>
      </c>
      <c r="E474" s="30">
        <v>466</v>
      </c>
      <c r="F474" s="32">
        <v>45960</v>
      </c>
      <c r="G474" s="32">
        <v>46021</v>
      </c>
      <c r="H474" s="21">
        <v>3562146</v>
      </c>
      <c r="I474" s="22"/>
      <c r="J474" s="18"/>
      <c r="K474" s="3">
        <f t="shared" si="23"/>
        <v>3562146</v>
      </c>
      <c r="L474" s="1">
        <f t="shared" si="24"/>
        <v>0</v>
      </c>
      <c r="M474" s="34"/>
      <c r="N474" s="38"/>
      <c r="O474" s="38"/>
    </row>
    <row r="475" spans="1:15" ht="112" x14ac:dyDescent="0.2">
      <c r="A475" s="30" t="s">
        <v>1113</v>
      </c>
      <c r="B475" s="30" t="s">
        <v>934</v>
      </c>
      <c r="C475" s="30">
        <v>20552584</v>
      </c>
      <c r="D475" s="6" t="s">
        <v>1161</v>
      </c>
      <c r="E475" s="30">
        <v>467</v>
      </c>
      <c r="F475" s="32">
        <v>45947</v>
      </c>
      <c r="G475" s="32">
        <v>46022</v>
      </c>
      <c r="H475" s="21">
        <v>21149333</v>
      </c>
      <c r="I475" s="22">
        <v>8240000</v>
      </c>
      <c r="J475" s="18"/>
      <c r="K475" s="3">
        <f t="shared" si="23"/>
        <v>21149333</v>
      </c>
      <c r="L475" s="1">
        <f t="shared" si="24"/>
        <v>0</v>
      </c>
      <c r="M475" s="34"/>
      <c r="N475" s="38"/>
      <c r="O475" s="38"/>
    </row>
    <row r="476" spans="1:15" ht="16" x14ac:dyDescent="0.2">
      <c r="A476" s="30"/>
      <c r="B476" s="30"/>
      <c r="C476" s="30"/>
      <c r="D476" s="6" t="s">
        <v>1194</v>
      </c>
      <c r="E476" s="30">
        <v>468</v>
      </c>
      <c r="F476" s="32"/>
      <c r="G476" s="32"/>
      <c r="H476" s="21"/>
      <c r="I476" s="22"/>
      <c r="J476" s="18"/>
      <c r="K476" s="3">
        <f t="shared" si="23"/>
        <v>0</v>
      </c>
      <c r="L476" s="1" t="e">
        <f t="shared" si="24"/>
        <v>#DIV/0!</v>
      </c>
      <c r="M476" s="34"/>
      <c r="N476" s="38"/>
      <c r="O476" s="38"/>
    </row>
    <row r="477" spans="1:15" ht="48" x14ac:dyDescent="0.2">
      <c r="A477" s="30" t="s">
        <v>517</v>
      </c>
      <c r="B477" s="30" t="s">
        <v>934</v>
      </c>
      <c r="C477" s="30">
        <v>94397996</v>
      </c>
      <c r="D477" s="6" t="s">
        <v>1162</v>
      </c>
      <c r="E477" s="30">
        <v>469</v>
      </c>
      <c r="F477" s="32">
        <v>45944</v>
      </c>
      <c r="G477" s="32">
        <v>46022</v>
      </c>
      <c r="H477" s="21">
        <v>29080333</v>
      </c>
      <c r="I477" s="22">
        <v>11330000</v>
      </c>
      <c r="J477" s="18">
        <f>I477+6420333+I477+6420333</f>
        <v>35500666</v>
      </c>
      <c r="K477" s="3">
        <f t="shared" si="23"/>
        <v>-6420333</v>
      </c>
      <c r="L477" s="1">
        <f t="shared" si="24"/>
        <v>1.2207792118474021</v>
      </c>
      <c r="M477" s="34"/>
      <c r="N477" s="38"/>
      <c r="O477" s="38"/>
    </row>
    <row r="478" spans="1:15" ht="96" x14ac:dyDescent="0.2">
      <c r="A478" s="30" t="s">
        <v>1114</v>
      </c>
      <c r="B478" s="30" t="s">
        <v>934</v>
      </c>
      <c r="C478" s="30">
        <v>1049628701</v>
      </c>
      <c r="D478" s="6" t="s">
        <v>1163</v>
      </c>
      <c r="E478" s="30">
        <v>470</v>
      </c>
      <c r="F478" s="32">
        <v>45945</v>
      </c>
      <c r="G478" s="32">
        <v>46022</v>
      </c>
      <c r="H478" s="21">
        <v>26093333</v>
      </c>
      <c r="I478" s="22">
        <v>10300000</v>
      </c>
      <c r="J478" s="18">
        <f>10300000+I478</f>
        <v>20600000</v>
      </c>
      <c r="K478" s="3">
        <f t="shared" si="23"/>
        <v>5493333</v>
      </c>
      <c r="L478" s="1">
        <f t="shared" si="24"/>
        <v>0.78947369429578051</v>
      </c>
      <c r="M478" s="34"/>
      <c r="N478" s="38"/>
      <c r="O478" s="38"/>
    </row>
    <row r="479" spans="1:15" ht="80" x14ac:dyDescent="0.2">
      <c r="A479" s="30" t="s">
        <v>1115</v>
      </c>
      <c r="B479" s="30" t="s">
        <v>934</v>
      </c>
      <c r="C479" s="30">
        <v>1128421448</v>
      </c>
      <c r="D479" s="6" t="s">
        <v>1164</v>
      </c>
      <c r="E479" s="30">
        <v>471</v>
      </c>
      <c r="F479" s="32">
        <v>45951</v>
      </c>
      <c r="G479" s="32">
        <v>46022</v>
      </c>
      <c r="H479" s="21">
        <v>15450000</v>
      </c>
      <c r="I479" s="22">
        <v>15450000</v>
      </c>
      <c r="J479" s="18">
        <f>6180000+6180000</f>
        <v>12360000</v>
      </c>
      <c r="K479" s="3">
        <f t="shared" si="23"/>
        <v>3090000</v>
      </c>
      <c r="L479" s="1">
        <f t="shared" si="24"/>
        <v>0.8</v>
      </c>
      <c r="M479" s="34"/>
      <c r="N479" s="38"/>
      <c r="O479" s="38"/>
    </row>
    <row r="480" spans="1:15" ht="112" x14ac:dyDescent="0.2">
      <c r="A480" s="30" t="s">
        <v>1116</v>
      </c>
      <c r="B480" s="30" t="s">
        <v>934</v>
      </c>
      <c r="C480" s="30">
        <v>59836360</v>
      </c>
      <c r="D480" s="6" t="s">
        <v>1165</v>
      </c>
      <c r="E480" s="30">
        <v>472</v>
      </c>
      <c r="F480" s="32">
        <v>45946</v>
      </c>
      <c r="G480" s="32">
        <v>46022</v>
      </c>
      <c r="H480" s="21">
        <v>16737500</v>
      </c>
      <c r="I480" s="22">
        <v>6695000</v>
      </c>
      <c r="J480" s="18">
        <f>6695000+I480</f>
        <v>13390000</v>
      </c>
      <c r="K480" s="3">
        <f t="shared" si="23"/>
        <v>3347500</v>
      </c>
      <c r="L480" s="1">
        <f t="shared" si="24"/>
        <v>0.8</v>
      </c>
      <c r="M480" s="34"/>
      <c r="N480" s="38"/>
      <c r="O480" s="38"/>
    </row>
    <row r="481" spans="1:15" ht="128" x14ac:dyDescent="0.2">
      <c r="A481" s="30" t="s">
        <v>1117</v>
      </c>
      <c r="B481" s="30" t="s">
        <v>934</v>
      </c>
      <c r="C481" s="30">
        <v>1022944647</v>
      </c>
      <c r="D481" s="6" t="s">
        <v>1166</v>
      </c>
      <c r="E481" s="30">
        <v>473</v>
      </c>
      <c r="F481" s="32">
        <v>45947</v>
      </c>
      <c r="G481" s="32">
        <v>46022</v>
      </c>
      <c r="H481" s="21">
        <v>13973667</v>
      </c>
      <c r="I481" s="22">
        <v>5665000</v>
      </c>
      <c r="J481" s="18">
        <f>5665000+I481</f>
        <v>11330000</v>
      </c>
      <c r="K481" s="3">
        <f t="shared" si="23"/>
        <v>2643667</v>
      </c>
      <c r="L481" s="1">
        <f t="shared" si="24"/>
        <v>0.81081079146941171</v>
      </c>
      <c r="M481" s="34"/>
      <c r="N481" s="38"/>
      <c r="O481" s="38"/>
    </row>
    <row r="482" spans="1:15" ht="96" x14ac:dyDescent="0.2">
      <c r="A482" s="30" t="s">
        <v>1118</v>
      </c>
      <c r="B482" s="30" t="s">
        <v>934</v>
      </c>
      <c r="C482" s="30">
        <v>1013688295</v>
      </c>
      <c r="D482" s="6" t="s">
        <v>1167</v>
      </c>
      <c r="E482" s="37">
        <v>474</v>
      </c>
      <c r="F482" s="32">
        <v>45946</v>
      </c>
      <c r="G482" s="32">
        <v>46022</v>
      </c>
      <c r="H482" s="21">
        <v>10686250</v>
      </c>
      <c r="I482" s="22">
        <v>4274500</v>
      </c>
      <c r="J482" s="18">
        <f>4274500+I482</f>
        <v>8549000</v>
      </c>
      <c r="K482" s="3">
        <f t="shared" si="23"/>
        <v>2137250</v>
      </c>
      <c r="L482" s="1">
        <f t="shared" si="24"/>
        <v>0.8</v>
      </c>
      <c r="M482" s="34"/>
      <c r="N482" s="38"/>
      <c r="O482" s="38"/>
    </row>
    <row r="483" spans="1:15" ht="112" x14ac:dyDescent="0.2">
      <c r="A483" s="30" t="s">
        <v>1119</v>
      </c>
      <c r="B483" s="30" t="s">
        <v>1142</v>
      </c>
      <c r="C483" s="30">
        <v>901777130</v>
      </c>
      <c r="D483" s="6" t="s">
        <v>1168</v>
      </c>
      <c r="E483" s="37">
        <v>475</v>
      </c>
      <c r="F483" s="32">
        <v>45951</v>
      </c>
      <c r="G483" s="32">
        <v>46006</v>
      </c>
      <c r="H483" s="21">
        <v>803096921</v>
      </c>
      <c r="I483" s="22"/>
      <c r="J483" s="18">
        <f>113783301+113783301+113783301+113783301</f>
        <v>455133204</v>
      </c>
      <c r="K483" s="3">
        <f>H483-J483</f>
        <v>347963717</v>
      </c>
      <c r="L483" s="1">
        <f t="shared" si="24"/>
        <v>0.56672263595940242</v>
      </c>
      <c r="M483" s="34"/>
      <c r="N483" s="38"/>
      <c r="O483" s="38"/>
    </row>
    <row r="484" spans="1:15" ht="96" x14ac:dyDescent="0.2">
      <c r="A484" s="30" t="s">
        <v>1120</v>
      </c>
      <c r="B484" s="30" t="s">
        <v>934</v>
      </c>
      <c r="C484" s="30">
        <v>1006978790</v>
      </c>
      <c r="D484" s="6" t="s">
        <v>1169</v>
      </c>
      <c r="E484" s="56">
        <v>476</v>
      </c>
      <c r="F484" s="32">
        <v>45951</v>
      </c>
      <c r="G484" s="32">
        <v>46022</v>
      </c>
      <c r="H484" s="21">
        <v>16737500</v>
      </c>
      <c r="I484" s="22" t="s">
        <v>1192</v>
      </c>
      <c r="J484" s="18">
        <f>6695000+I484</f>
        <v>13390000</v>
      </c>
      <c r="K484" s="3">
        <f t="shared" si="23"/>
        <v>3347500</v>
      </c>
      <c r="L484" s="1">
        <f t="shared" si="24"/>
        <v>0.8</v>
      </c>
      <c r="M484" s="34"/>
      <c r="N484" s="38"/>
      <c r="O484" s="38"/>
    </row>
    <row r="485" spans="1:15" ht="48" x14ac:dyDescent="0.2">
      <c r="A485" s="30" t="s">
        <v>1121</v>
      </c>
      <c r="B485" s="30" t="s">
        <v>934</v>
      </c>
      <c r="C485" s="30">
        <v>35263970</v>
      </c>
      <c r="D485" s="6" t="s">
        <v>1170</v>
      </c>
      <c r="E485" s="30">
        <v>477</v>
      </c>
      <c r="F485" s="32">
        <v>45951</v>
      </c>
      <c r="G485" s="32">
        <v>46022</v>
      </c>
      <c r="H485" s="21">
        <v>15621666</v>
      </c>
      <c r="I485" s="22" t="s">
        <v>1192</v>
      </c>
      <c r="J485" s="18">
        <f>6695000+I485</f>
        <v>13390000</v>
      </c>
      <c r="K485" s="3">
        <f t="shared" si="23"/>
        <v>2231666</v>
      </c>
      <c r="L485" s="1">
        <f t="shared" si="24"/>
        <v>0.85714289372209085</v>
      </c>
      <c r="M485" s="34"/>
      <c r="N485" s="38"/>
      <c r="O485" s="38"/>
    </row>
    <row r="486" spans="1:15" ht="96" x14ac:dyDescent="0.2">
      <c r="A486" s="30" t="s">
        <v>1122</v>
      </c>
      <c r="B486" s="30" t="s">
        <v>934</v>
      </c>
      <c r="C486" s="30">
        <v>1063166226</v>
      </c>
      <c r="D486" s="6" t="s">
        <v>1171</v>
      </c>
      <c r="E486" s="30">
        <v>478</v>
      </c>
      <c r="F486" s="32">
        <v>45951</v>
      </c>
      <c r="G486" s="32">
        <v>46022</v>
      </c>
      <c r="H486" s="21">
        <v>14420000</v>
      </c>
      <c r="I486" s="22">
        <v>6180000</v>
      </c>
      <c r="J486" s="18">
        <f>6180000+I486</f>
        <v>12360000</v>
      </c>
      <c r="K486" s="3">
        <f t="shared" si="23"/>
        <v>2060000</v>
      </c>
      <c r="L486" s="1">
        <f t="shared" si="24"/>
        <v>0.85714285714285721</v>
      </c>
      <c r="M486" s="34"/>
      <c r="N486" s="38"/>
      <c r="O486" s="38"/>
    </row>
    <row r="487" spans="1:15" ht="96" x14ac:dyDescent="0.2">
      <c r="A487" s="30" t="s">
        <v>1123</v>
      </c>
      <c r="B487" s="30" t="s">
        <v>934</v>
      </c>
      <c r="C487" s="30">
        <v>1085321969</v>
      </c>
      <c r="D487" s="6" t="s">
        <v>1172</v>
      </c>
      <c r="E487" s="30">
        <v>479</v>
      </c>
      <c r="F487" s="32">
        <v>45951</v>
      </c>
      <c r="G487" s="32">
        <v>46022</v>
      </c>
      <c r="H487" s="21">
        <v>15621667</v>
      </c>
      <c r="I487" s="22" t="s">
        <v>1192</v>
      </c>
      <c r="J487" s="18">
        <f>6695000+I487</f>
        <v>13390000</v>
      </c>
      <c r="K487" s="3">
        <f t="shared" si="23"/>
        <v>2231667</v>
      </c>
      <c r="L487" s="1">
        <f t="shared" si="24"/>
        <v>0.8571428388532415</v>
      </c>
      <c r="M487" s="34"/>
      <c r="N487" s="38"/>
      <c r="O487" s="38"/>
    </row>
    <row r="488" spans="1:15" ht="64" x14ac:dyDescent="0.2">
      <c r="A488" s="30" t="s">
        <v>1124</v>
      </c>
      <c r="B488" s="30" t="s">
        <v>1142</v>
      </c>
      <c r="C488" s="30">
        <v>800015583</v>
      </c>
      <c r="D488" s="6" t="s">
        <v>1173</v>
      </c>
      <c r="E488" s="30">
        <v>480</v>
      </c>
      <c r="F488" s="32">
        <v>45961</v>
      </c>
      <c r="G488" s="32">
        <v>46006</v>
      </c>
      <c r="H488" s="21">
        <v>294000000</v>
      </c>
      <c r="I488" s="22">
        <v>294000000</v>
      </c>
      <c r="J488" s="18">
        <v>205800000</v>
      </c>
      <c r="K488" s="3">
        <f t="shared" si="23"/>
        <v>88200000</v>
      </c>
      <c r="L488" s="1">
        <f t="shared" si="24"/>
        <v>0.7</v>
      </c>
      <c r="M488" s="34"/>
      <c r="N488" s="38"/>
      <c r="O488" s="38"/>
    </row>
    <row r="489" spans="1:15" ht="80" x14ac:dyDescent="0.2">
      <c r="A489" s="30" t="s">
        <v>1125</v>
      </c>
      <c r="B489" s="30" t="s">
        <v>934</v>
      </c>
      <c r="C489" s="30">
        <v>93181180</v>
      </c>
      <c r="D489" s="6" t="s">
        <v>1174</v>
      </c>
      <c r="E489" s="30">
        <v>481</v>
      </c>
      <c r="F489" s="32">
        <v>45953</v>
      </c>
      <c r="G489" s="32">
        <v>46020</v>
      </c>
      <c r="H489" s="21">
        <v>25681333</v>
      </c>
      <c r="I489" s="22">
        <v>11330000</v>
      </c>
      <c r="J489" s="18">
        <f>I489+I489</f>
        <v>22660000</v>
      </c>
      <c r="K489" s="3">
        <f t="shared" si="23"/>
        <v>3021333</v>
      </c>
      <c r="L489" s="1">
        <f t="shared" si="24"/>
        <v>0.88235295262905555</v>
      </c>
      <c r="M489" s="34"/>
      <c r="N489" s="38"/>
      <c r="O489" s="38"/>
    </row>
    <row r="490" spans="1:15" ht="48" x14ac:dyDescent="0.2">
      <c r="A490" s="30" t="s">
        <v>1126</v>
      </c>
      <c r="B490" s="30" t="s">
        <v>934</v>
      </c>
      <c r="C490" s="30">
        <v>1032400272</v>
      </c>
      <c r="D490" s="6" t="s">
        <v>1175</v>
      </c>
      <c r="E490" s="30">
        <v>482</v>
      </c>
      <c r="F490" s="32">
        <v>45952</v>
      </c>
      <c r="G490" s="32">
        <v>45952</v>
      </c>
      <c r="H490" s="21">
        <v>10506000</v>
      </c>
      <c r="I490" s="22">
        <v>4635000</v>
      </c>
      <c r="J490" s="18"/>
      <c r="K490" s="3">
        <f t="shared" si="23"/>
        <v>10506000</v>
      </c>
      <c r="L490" s="1">
        <f t="shared" si="24"/>
        <v>0</v>
      </c>
      <c r="M490" s="34"/>
      <c r="N490" s="38"/>
      <c r="O490" s="38"/>
    </row>
    <row r="491" spans="1:15" ht="112" x14ac:dyDescent="0.2">
      <c r="A491" s="30" t="s">
        <v>1127</v>
      </c>
      <c r="B491" s="30" t="s">
        <v>934</v>
      </c>
      <c r="C491" s="30">
        <v>91284473</v>
      </c>
      <c r="D491" s="6" t="s">
        <v>1176</v>
      </c>
      <c r="E491" s="30">
        <v>483</v>
      </c>
      <c r="F491" s="32">
        <v>45953</v>
      </c>
      <c r="G491" s="32">
        <v>46022</v>
      </c>
      <c r="H491" s="21">
        <v>16342666</v>
      </c>
      <c r="I491" s="22">
        <v>7210000</v>
      </c>
      <c r="J491" s="18">
        <f>7210000+I491</f>
        <v>14420000</v>
      </c>
      <c r="K491" s="3">
        <f t="shared" si="23"/>
        <v>1922666</v>
      </c>
      <c r="L491" s="1">
        <f t="shared" si="24"/>
        <v>0.88235297717030992</v>
      </c>
      <c r="M491" s="34"/>
      <c r="N491" s="38"/>
      <c r="O491" s="38"/>
    </row>
    <row r="492" spans="1:15" ht="96" x14ac:dyDescent="0.2">
      <c r="A492" s="30" t="s">
        <v>1128</v>
      </c>
      <c r="B492" s="30" t="s">
        <v>934</v>
      </c>
      <c r="C492" s="30">
        <v>1010170206</v>
      </c>
      <c r="D492" s="6" t="s">
        <v>1177</v>
      </c>
      <c r="E492" s="30">
        <v>484</v>
      </c>
      <c r="F492" s="32">
        <v>45957</v>
      </c>
      <c r="G492" s="32">
        <v>46022</v>
      </c>
      <c r="H492" s="21">
        <v>18677333</v>
      </c>
      <c r="I492" s="22">
        <v>8755000</v>
      </c>
      <c r="J492" s="18">
        <f>8755000+H492</f>
        <v>27432333</v>
      </c>
      <c r="K492" s="3">
        <f t="shared" si="23"/>
        <v>-8755000</v>
      </c>
      <c r="L492" s="1">
        <f t="shared" si="24"/>
        <v>1.4687500083657554</v>
      </c>
      <c r="M492" s="34"/>
      <c r="N492" s="38"/>
      <c r="O492" s="38"/>
    </row>
    <row r="493" spans="1:15" ht="96" x14ac:dyDescent="0.2">
      <c r="A493" s="30" t="s">
        <v>1129</v>
      </c>
      <c r="B493" s="30" t="s">
        <v>934</v>
      </c>
      <c r="C493" s="30">
        <v>79577204</v>
      </c>
      <c r="D493" s="6" t="s">
        <v>1178</v>
      </c>
      <c r="E493" s="30">
        <v>485</v>
      </c>
      <c r="F493" s="32">
        <v>45958</v>
      </c>
      <c r="G493" s="32">
        <v>46022</v>
      </c>
      <c r="H493" s="21">
        <v>19683300</v>
      </c>
      <c r="I493" s="22" t="s">
        <v>1193</v>
      </c>
      <c r="J493" s="18">
        <f>I493+I493+I493+I493</f>
        <v>37492000</v>
      </c>
      <c r="K493" s="3">
        <f t="shared" si="23"/>
        <v>-17808700</v>
      </c>
      <c r="L493" s="1">
        <f t="shared" si="24"/>
        <v>1.9047619047619047</v>
      </c>
      <c r="M493" s="34"/>
      <c r="N493" s="38"/>
      <c r="O493" s="38"/>
    </row>
    <row r="494" spans="1:15" ht="64" x14ac:dyDescent="0.2">
      <c r="A494" s="30" t="s">
        <v>1130</v>
      </c>
      <c r="B494" s="30" t="s">
        <v>934</v>
      </c>
      <c r="C494" s="30">
        <v>32753263</v>
      </c>
      <c r="D494" s="6" t="s">
        <v>1179</v>
      </c>
      <c r="E494" s="30">
        <v>486</v>
      </c>
      <c r="F494" s="32">
        <v>45959</v>
      </c>
      <c r="G494" s="32">
        <v>46022</v>
      </c>
      <c r="H494" s="21">
        <v>21286667</v>
      </c>
      <c r="I494" s="22">
        <v>10300000</v>
      </c>
      <c r="J494" s="18">
        <f>I494+I494</f>
        <v>20600000</v>
      </c>
      <c r="K494" s="3">
        <f t="shared" si="23"/>
        <v>686667</v>
      </c>
      <c r="L494" s="1">
        <f t="shared" si="24"/>
        <v>0.96774192032975381</v>
      </c>
      <c r="M494" s="34"/>
      <c r="N494" s="38"/>
      <c r="O494" s="38"/>
    </row>
    <row r="495" spans="1:15" ht="64" x14ac:dyDescent="0.2">
      <c r="A495" s="30" t="s">
        <v>1131</v>
      </c>
      <c r="B495" s="30" t="s">
        <v>1142</v>
      </c>
      <c r="C495" s="30">
        <v>901312112</v>
      </c>
      <c r="D495" s="6" t="s">
        <v>1180</v>
      </c>
      <c r="E495" s="30">
        <v>487</v>
      </c>
      <c r="F495" s="32">
        <v>45968</v>
      </c>
      <c r="G495" s="32">
        <v>45997</v>
      </c>
      <c r="H495" s="21">
        <v>2499000</v>
      </c>
      <c r="I495" s="22">
        <v>2499000</v>
      </c>
      <c r="J495" s="18"/>
      <c r="K495" s="3">
        <f t="shared" si="23"/>
        <v>2499000</v>
      </c>
      <c r="L495" s="1">
        <f t="shared" si="24"/>
        <v>0</v>
      </c>
      <c r="M495" s="34"/>
      <c r="N495" s="38"/>
      <c r="O495" s="38"/>
    </row>
    <row r="496" spans="1:15" ht="128" x14ac:dyDescent="0.2">
      <c r="A496" s="30" t="s">
        <v>1132</v>
      </c>
      <c r="B496" s="30" t="s">
        <v>1142</v>
      </c>
      <c r="C496" s="30">
        <v>900732834</v>
      </c>
      <c r="D496" s="6" t="s">
        <v>1181</v>
      </c>
      <c r="E496" s="30">
        <v>488</v>
      </c>
      <c r="F496" s="32">
        <v>45973</v>
      </c>
      <c r="G496" s="32">
        <v>46006</v>
      </c>
      <c r="H496" s="21">
        <v>3066496.72</v>
      </c>
      <c r="I496" s="22">
        <v>3066496.72</v>
      </c>
      <c r="J496" s="18"/>
      <c r="K496" s="3">
        <f t="shared" si="23"/>
        <v>3066496.72</v>
      </c>
      <c r="L496" s="1">
        <f t="shared" si="24"/>
        <v>0</v>
      </c>
      <c r="M496" s="34"/>
      <c r="N496" s="38"/>
      <c r="O496" s="38"/>
    </row>
    <row r="497" spans="1:15" ht="128" x14ac:dyDescent="0.2">
      <c r="A497" s="30" t="s">
        <v>1133</v>
      </c>
      <c r="B497" s="30" t="s">
        <v>1142</v>
      </c>
      <c r="C497" s="30">
        <v>901804850</v>
      </c>
      <c r="D497" s="6" t="s">
        <v>1182</v>
      </c>
      <c r="E497" s="30">
        <v>489</v>
      </c>
      <c r="F497" s="32">
        <v>45974</v>
      </c>
      <c r="G497" s="32">
        <v>46006</v>
      </c>
      <c r="H497" s="21">
        <v>206340386</v>
      </c>
      <c r="I497" s="22">
        <v>206340386</v>
      </c>
      <c r="J497" s="18"/>
      <c r="K497" s="3">
        <f t="shared" si="23"/>
        <v>206340386</v>
      </c>
      <c r="L497" s="1">
        <f t="shared" si="24"/>
        <v>0</v>
      </c>
      <c r="M497" s="34"/>
      <c r="N497" s="38"/>
      <c r="O497" s="38"/>
    </row>
    <row r="498" spans="1:15" ht="64" x14ac:dyDescent="0.2">
      <c r="A498" s="30" t="s">
        <v>1134</v>
      </c>
      <c r="B498" s="30" t="s">
        <v>934</v>
      </c>
      <c r="C498" s="30">
        <v>1089513115</v>
      </c>
      <c r="D498" s="6" t="s">
        <v>1183</v>
      </c>
      <c r="E498" s="30">
        <v>490</v>
      </c>
      <c r="F498" s="32">
        <v>45973</v>
      </c>
      <c r="G498" s="32">
        <v>46022</v>
      </c>
      <c r="H498" s="21">
        <v>13905000</v>
      </c>
      <c r="I498" s="22">
        <v>7725000</v>
      </c>
      <c r="J498" s="18">
        <f>4892500+4892500</f>
        <v>9785000</v>
      </c>
      <c r="K498" s="3">
        <f t="shared" si="23"/>
        <v>4120000</v>
      </c>
      <c r="L498" s="1">
        <f t="shared" si="24"/>
        <v>0.70370370370370372</v>
      </c>
      <c r="M498" s="34"/>
      <c r="N498" s="38"/>
      <c r="O498" s="38"/>
    </row>
    <row r="499" spans="1:15" ht="32" x14ac:dyDescent="0.2">
      <c r="A499" s="30" t="s">
        <v>1135</v>
      </c>
      <c r="B499" s="30" t="s">
        <v>934</v>
      </c>
      <c r="C499" s="30">
        <v>52249114</v>
      </c>
      <c r="D499" s="6" t="s">
        <v>1184</v>
      </c>
      <c r="E499" s="30">
        <v>491</v>
      </c>
      <c r="F499" s="32">
        <v>45971</v>
      </c>
      <c r="G499" s="32">
        <v>46022</v>
      </c>
      <c r="H499" s="21">
        <v>11381500</v>
      </c>
      <c r="I499" s="22">
        <v>6695000</v>
      </c>
      <c r="J499" s="18">
        <f>4686500+4686500</f>
        <v>9373000</v>
      </c>
      <c r="K499" s="3">
        <f t="shared" si="23"/>
        <v>2008500</v>
      </c>
      <c r="L499" s="1">
        <f t="shared" si="24"/>
        <v>0.82352941176470584</v>
      </c>
      <c r="M499" s="34"/>
      <c r="N499" s="38"/>
      <c r="O499" s="38"/>
    </row>
    <row r="500" spans="1:15" ht="112" x14ac:dyDescent="0.2">
      <c r="A500" s="30" t="s">
        <v>1136</v>
      </c>
      <c r="B500" s="30" t="s">
        <v>1142</v>
      </c>
      <c r="C500" s="30">
        <v>800198591</v>
      </c>
      <c r="D500" s="6" t="s">
        <v>1185</v>
      </c>
      <c r="E500" s="30">
        <v>492</v>
      </c>
      <c r="F500" s="32">
        <v>45992</v>
      </c>
      <c r="G500" s="32">
        <v>46007</v>
      </c>
      <c r="H500" s="21">
        <v>379162265.44999999</v>
      </c>
      <c r="I500" s="22">
        <v>379162265.44999999</v>
      </c>
      <c r="J500" s="18"/>
      <c r="K500" s="3">
        <f t="shared" si="23"/>
        <v>379162265.44999999</v>
      </c>
      <c r="L500" s="1">
        <f t="shared" si="24"/>
        <v>0</v>
      </c>
      <c r="M500" s="34"/>
      <c r="N500" s="38"/>
      <c r="O500" s="38"/>
    </row>
    <row r="501" spans="1:15" ht="320" x14ac:dyDescent="0.2">
      <c r="A501" s="30" t="s">
        <v>1137</v>
      </c>
      <c r="B501" s="30" t="s">
        <v>1142</v>
      </c>
      <c r="C501" s="57">
        <v>900024202</v>
      </c>
      <c r="D501" s="6" t="s">
        <v>1186</v>
      </c>
      <c r="E501" s="30">
        <v>493</v>
      </c>
      <c r="F501" s="32">
        <v>45986</v>
      </c>
      <c r="G501" s="32">
        <v>46006</v>
      </c>
      <c r="H501" s="21">
        <v>1337458500</v>
      </c>
      <c r="I501" s="22">
        <v>1337458500</v>
      </c>
      <c r="J501" s="18"/>
      <c r="K501" s="3">
        <f t="shared" si="23"/>
        <v>1337458500</v>
      </c>
      <c r="L501" s="1">
        <f t="shared" si="24"/>
        <v>0</v>
      </c>
      <c r="M501" s="34"/>
      <c r="N501" s="38"/>
      <c r="O501" s="38"/>
    </row>
    <row r="502" spans="1:15" ht="176" x14ac:dyDescent="0.2">
      <c r="A502" s="30" t="s">
        <v>1138</v>
      </c>
      <c r="B502" s="30" t="s">
        <v>934</v>
      </c>
      <c r="C502" s="30">
        <v>51940904</v>
      </c>
      <c r="D502" s="6" t="s">
        <v>1187</v>
      </c>
      <c r="E502" s="30">
        <v>494</v>
      </c>
      <c r="F502" s="32">
        <v>45975</v>
      </c>
      <c r="G502" s="32">
        <v>46022</v>
      </c>
      <c r="H502" s="21">
        <v>8875167</v>
      </c>
      <c r="I502" s="22">
        <v>5665000</v>
      </c>
      <c r="J502" s="18">
        <f>3210167+3210167</f>
        <v>6420334</v>
      </c>
      <c r="K502" s="3">
        <f t="shared" si="23"/>
        <v>2454833</v>
      </c>
      <c r="L502" s="1">
        <f t="shared" si="24"/>
        <v>0.72340430326550476</v>
      </c>
      <c r="M502" s="34"/>
      <c r="N502" s="38"/>
      <c r="O502" s="38"/>
    </row>
    <row r="503" spans="1:15" ht="272" x14ac:dyDescent="0.2">
      <c r="A503" s="30" t="s">
        <v>1139</v>
      </c>
      <c r="B503" s="30" t="s">
        <v>1142</v>
      </c>
      <c r="C503" s="57">
        <v>902009378</v>
      </c>
      <c r="D503" s="25" t="s">
        <v>1188</v>
      </c>
      <c r="E503" s="30">
        <v>495</v>
      </c>
      <c r="F503" s="32">
        <v>45985</v>
      </c>
      <c r="G503" s="32">
        <v>46006</v>
      </c>
      <c r="H503" s="21">
        <v>689110000</v>
      </c>
      <c r="I503" s="21">
        <v>689110000</v>
      </c>
      <c r="J503" s="18"/>
      <c r="K503" s="3">
        <f t="shared" ref="K503:K505" si="25">H503-J503</f>
        <v>689110000</v>
      </c>
      <c r="L503" s="1">
        <f t="shared" ref="L503:L505" si="26">1-(K503/H503)</f>
        <v>0</v>
      </c>
      <c r="M503" s="34"/>
      <c r="N503" s="38"/>
      <c r="O503" s="38"/>
    </row>
    <row r="504" spans="1:15" ht="128" x14ac:dyDescent="0.2">
      <c r="A504" s="30" t="s">
        <v>1140</v>
      </c>
      <c r="B504" s="30" t="s">
        <v>934</v>
      </c>
      <c r="C504" s="30">
        <v>51977468</v>
      </c>
      <c r="D504" s="25" t="s">
        <v>1189</v>
      </c>
      <c r="E504" s="30">
        <v>496</v>
      </c>
      <c r="F504" s="32">
        <v>45985</v>
      </c>
      <c r="G504" s="32">
        <v>46022</v>
      </c>
      <c r="H504" s="21">
        <v>12703333</v>
      </c>
      <c r="I504" s="21">
        <v>10300000</v>
      </c>
      <c r="J504" s="18">
        <f>2403333+2403333</f>
        <v>4806666</v>
      </c>
      <c r="K504" s="3">
        <f t="shared" si="25"/>
        <v>7896667</v>
      </c>
      <c r="L504" s="1">
        <f t="shared" si="26"/>
        <v>0.37837833582729818</v>
      </c>
      <c r="M504" s="34"/>
      <c r="N504" s="38"/>
      <c r="O504" s="38"/>
    </row>
    <row r="505" spans="1:15" ht="128" x14ac:dyDescent="0.2">
      <c r="A505" s="30" t="s">
        <v>1141</v>
      </c>
      <c r="B505" s="30" t="s">
        <v>934</v>
      </c>
      <c r="C505" s="30">
        <v>1033738130</v>
      </c>
      <c r="D505" s="25" t="s">
        <v>1190</v>
      </c>
      <c r="E505" s="30">
        <v>497</v>
      </c>
      <c r="F505" s="32">
        <v>45986</v>
      </c>
      <c r="G505" s="32">
        <v>46022</v>
      </c>
      <c r="H505" s="21">
        <v>9888000</v>
      </c>
      <c r="I505" s="21">
        <v>8240000</v>
      </c>
      <c r="J505" s="18">
        <f>1648000+1648000</f>
        <v>3296000</v>
      </c>
      <c r="K505" s="3">
        <f t="shared" si="25"/>
        <v>6592000</v>
      </c>
      <c r="L505" s="1">
        <f t="shared" si="26"/>
        <v>0.33333333333333337</v>
      </c>
      <c r="M505" s="34"/>
      <c r="N505" s="38"/>
      <c r="O505" s="38"/>
    </row>
    <row r="506" spans="1:15" x14ac:dyDescent="0.2">
      <c r="J506" s="35"/>
    </row>
    <row r="507" spans="1:15" x14ac:dyDescent="0.2">
      <c r="J507" s="35"/>
    </row>
    <row r="508" spans="1:15" x14ac:dyDescent="0.2">
      <c r="J508" s="35"/>
    </row>
    <row r="509" spans="1:15" x14ac:dyDescent="0.2">
      <c r="J509" s="35"/>
    </row>
    <row r="510" spans="1:15" x14ac:dyDescent="0.2">
      <c r="J510" s="35"/>
    </row>
    <row r="511" spans="1:15" x14ac:dyDescent="0.2">
      <c r="J511" s="35"/>
    </row>
    <row r="512" spans="1:15" x14ac:dyDescent="0.2">
      <c r="J512" s="35"/>
    </row>
    <row r="513" spans="10:10" x14ac:dyDescent="0.2">
      <c r="J513" s="35"/>
    </row>
    <row r="514" spans="10:10" x14ac:dyDescent="0.2">
      <c r="J514" s="35"/>
    </row>
    <row r="515" spans="10:10" x14ac:dyDescent="0.2">
      <c r="J515" s="35"/>
    </row>
    <row r="516" spans="10:10" x14ac:dyDescent="0.2">
      <c r="J516" s="35"/>
    </row>
    <row r="517" spans="10:10" x14ac:dyDescent="0.2">
      <c r="J517" s="35"/>
    </row>
    <row r="518" spans="10:10" x14ac:dyDescent="0.2">
      <c r="J518" s="35"/>
    </row>
    <row r="519" spans="10:10" x14ac:dyDescent="0.2">
      <c r="J519" s="35"/>
    </row>
    <row r="520" spans="10:10" x14ac:dyDescent="0.2">
      <c r="J520" s="35"/>
    </row>
    <row r="521" spans="10:10" x14ac:dyDescent="0.2">
      <c r="J521" s="35"/>
    </row>
    <row r="522" spans="10:10" x14ac:dyDescent="0.2">
      <c r="J522" s="35"/>
    </row>
    <row r="523" spans="10:10" x14ac:dyDescent="0.2">
      <c r="J523" s="35"/>
    </row>
    <row r="524" spans="10:10" x14ac:dyDescent="0.2">
      <c r="J524" s="35"/>
    </row>
    <row r="525" spans="10:10" x14ac:dyDescent="0.2">
      <c r="J525" s="35"/>
    </row>
    <row r="526" spans="10:10" x14ac:dyDescent="0.2">
      <c r="J526" s="35"/>
    </row>
    <row r="527" spans="10:10" x14ac:dyDescent="0.2">
      <c r="J527" s="35"/>
    </row>
    <row r="528" spans="10:10" x14ac:dyDescent="0.2">
      <c r="J528" s="35"/>
    </row>
    <row r="529" spans="10:10" x14ac:dyDescent="0.2">
      <c r="J529" s="35"/>
    </row>
    <row r="530" spans="10:10" x14ac:dyDescent="0.2">
      <c r="J530" s="35"/>
    </row>
    <row r="531" spans="10:10" x14ac:dyDescent="0.2">
      <c r="J531" s="35"/>
    </row>
    <row r="532" spans="10:10" x14ac:dyDescent="0.2">
      <c r="J532" s="35"/>
    </row>
    <row r="533" spans="10:10" x14ac:dyDescent="0.2">
      <c r="J533" s="35"/>
    </row>
    <row r="534" spans="10:10" x14ac:dyDescent="0.2">
      <c r="J534" s="35"/>
    </row>
    <row r="535" spans="10:10" x14ac:dyDescent="0.2">
      <c r="J535" s="35"/>
    </row>
    <row r="536" spans="10:10" x14ac:dyDescent="0.2">
      <c r="J536" s="35"/>
    </row>
    <row r="537" spans="10:10" x14ac:dyDescent="0.2">
      <c r="J537" s="35"/>
    </row>
    <row r="538" spans="10:10" x14ac:dyDescent="0.2">
      <c r="J538" s="35"/>
    </row>
    <row r="539" spans="10:10" x14ac:dyDescent="0.2">
      <c r="J539" s="35"/>
    </row>
    <row r="540" spans="10:10" x14ac:dyDescent="0.2">
      <c r="J540" s="35"/>
    </row>
    <row r="541" spans="10:10" x14ac:dyDescent="0.2">
      <c r="J541" s="35"/>
    </row>
    <row r="542" spans="10:10" x14ac:dyDescent="0.2">
      <c r="J542" s="35"/>
    </row>
    <row r="543" spans="10:10" x14ac:dyDescent="0.2">
      <c r="J543" s="35"/>
    </row>
    <row r="544" spans="10:10" x14ac:dyDescent="0.2">
      <c r="J544" s="35"/>
    </row>
    <row r="545" spans="10:10" x14ac:dyDescent="0.2">
      <c r="J545" s="35"/>
    </row>
    <row r="546" spans="10:10" x14ac:dyDescent="0.2">
      <c r="J546" s="35"/>
    </row>
    <row r="547" spans="10:10" x14ac:dyDescent="0.2">
      <c r="J547" s="35"/>
    </row>
    <row r="548" spans="10:10" x14ac:dyDescent="0.2">
      <c r="J548" s="35"/>
    </row>
    <row r="549" spans="10:10" x14ac:dyDescent="0.2">
      <c r="J549" s="35"/>
    </row>
    <row r="550" spans="10:10" x14ac:dyDescent="0.2">
      <c r="J550" s="35"/>
    </row>
    <row r="551" spans="10:10" x14ac:dyDescent="0.2">
      <c r="J551" s="35"/>
    </row>
    <row r="552" spans="10:10" x14ac:dyDescent="0.2">
      <c r="J552" s="35"/>
    </row>
    <row r="553" spans="10:10" x14ac:dyDescent="0.2">
      <c r="J553" s="35"/>
    </row>
    <row r="554" spans="10:10" x14ac:dyDescent="0.2">
      <c r="J554" s="35"/>
    </row>
    <row r="555" spans="10:10" x14ac:dyDescent="0.2">
      <c r="J555" s="35"/>
    </row>
    <row r="556" spans="10:10" x14ac:dyDescent="0.2">
      <c r="J556" s="35"/>
    </row>
    <row r="557" spans="10:10" x14ac:dyDescent="0.2">
      <c r="J557" s="35"/>
    </row>
    <row r="558" spans="10:10" x14ac:dyDescent="0.2">
      <c r="J558" s="35"/>
    </row>
    <row r="559" spans="10:10" x14ac:dyDescent="0.2">
      <c r="J559" s="35"/>
    </row>
    <row r="560" spans="10:10" x14ac:dyDescent="0.2">
      <c r="J560" s="35"/>
    </row>
    <row r="561" spans="10:10" x14ac:dyDescent="0.2">
      <c r="J561" s="35"/>
    </row>
    <row r="562" spans="10:10" x14ac:dyDescent="0.2">
      <c r="J562" s="35"/>
    </row>
    <row r="563" spans="10:10" x14ac:dyDescent="0.2">
      <c r="J563" s="35"/>
    </row>
    <row r="564" spans="10:10" x14ac:dyDescent="0.2">
      <c r="J564" s="35"/>
    </row>
    <row r="565" spans="10:10" x14ac:dyDescent="0.2">
      <c r="J565" s="35"/>
    </row>
    <row r="566" spans="10:10" x14ac:dyDescent="0.2">
      <c r="J566" s="35"/>
    </row>
    <row r="567" spans="10:10" x14ac:dyDescent="0.2">
      <c r="J567" s="35"/>
    </row>
    <row r="568" spans="10:10" x14ac:dyDescent="0.2">
      <c r="J568" s="35"/>
    </row>
    <row r="569" spans="10:10" x14ac:dyDescent="0.2">
      <c r="J569" s="35"/>
    </row>
    <row r="570" spans="10:10" x14ac:dyDescent="0.2">
      <c r="J570" s="35"/>
    </row>
    <row r="571" spans="10:10" x14ac:dyDescent="0.2">
      <c r="J571" s="35"/>
    </row>
    <row r="572" spans="10:10" x14ac:dyDescent="0.2">
      <c r="J572" s="35"/>
    </row>
    <row r="573" spans="10:10" x14ac:dyDescent="0.2">
      <c r="J573" s="35"/>
    </row>
    <row r="574" spans="10:10" x14ac:dyDescent="0.2">
      <c r="J574" s="35"/>
    </row>
    <row r="575" spans="10:10" x14ac:dyDescent="0.2">
      <c r="J575" s="35"/>
    </row>
    <row r="576" spans="10:10" x14ac:dyDescent="0.2">
      <c r="J576" s="35"/>
    </row>
    <row r="577" spans="10:10" x14ac:dyDescent="0.2">
      <c r="J577" s="35"/>
    </row>
    <row r="578" spans="10:10" x14ac:dyDescent="0.2">
      <c r="J578" s="35"/>
    </row>
    <row r="579" spans="10:10" x14ac:dyDescent="0.2">
      <c r="J579" s="35"/>
    </row>
    <row r="580" spans="10:10" x14ac:dyDescent="0.2">
      <c r="J580" s="35"/>
    </row>
    <row r="581" spans="10:10" x14ac:dyDescent="0.2">
      <c r="J581" s="35"/>
    </row>
    <row r="582" spans="10:10" x14ac:dyDescent="0.2">
      <c r="J582" s="35"/>
    </row>
    <row r="583" spans="10:10" x14ac:dyDescent="0.2">
      <c r="J583" s="35"/>
    </row>
    <row r="584" spans="10:10" x14ac:dyDescent="0.2">
      <c r="J584" s="35"/>
    </row>
    <row r="585" spans="10:10" x14ac:dyDescent="0.2">
      <c r="J585" s="35"/>
    </row>
    <row r="586" spans="10:10" x14ac:dyDescent="0.2">
      <c r="J586" s="35"/>
    </row>
    <row r="587" spans="10:10" x14ac:dyDescent="0.2">
      <c r="J587" s="35"/>
    </row>
    <row r="588" spans="10:10" x14ac:dyDescent="0.2">
      <c r="J588" s="35"/>
    </row>
    <row r="589" spans="10:10" x14ac:dyDescent="0.2">
      <c r="J589" s="35"/>
    </row>
    <row r="590" spans="10:10" x14ac:dyDescent="0.2">
      <c r="J590" s="35"/>
    </row>
    <row r="591" spans="10:10" x14ac:dyDescent="0.2">
      <c r="J591" s="35"/>
    </row>
    <row r="592" spans="10:10" x14ac:dyDescent="0.2">
      <c r="J592" s="35"/>
    </row>
    <row r="593" spans="10:10" x14ac:dyDescent="0.2">
      <c r="J593" s="35"/>
    </row>
    <row r="594" spans="10:10" x14ac:dyDescent="0.2">
      <c r="J594" s="35"/>
    </row>
    <row r="595" spans="10:10" x14ac:dyDescent="0.2">
      <c r="J595" s="35"/>
    </row>
    <row r="596" spans="10:10" x14ac:dyDescent="0.2">
      <c r="J596" s="35"/>
    </row>
    <row r="597" spans="10:10" x14ac:dyDescent="0.2">
      <c r="J597" s="35"/>
    </row>
    <row r="598" spans="10:10" x14ac:dyDescent="0.2">
      <c r="J598" s="35"/>
    </row>
    <row r="599" spans="10:10" x14ac:dyDescent="0.2">
      <c r="J599" s="35"/>
    </row>
    <row r="600" spans="10:10" x14ac:dyDescent="0.2">
      <c r="J600" s="35"/>
    </row>
    <row r="601" spans="10:10" x14ac:dyDescent="0.2">
      <c r="J601" s="35"/>
    </row>
    <row r="602" spans="10:10" x14ac:dyDescent="0.2">
      <c r="J602" s="35"/>
    </row>
    <row r="603" spans="10:10" x14ac:dyDescent="0.2">
      <c r="J603" s="35"/>
    </row>
    <row r="604" spans="10:10" x14ac:dyDescent="0.2">
      <c r="J604" s="35"/>
    </row>
    <row r="605" spans="10:10" x14ac:dyDescent="0.2">
      <c r="J605" s="35"/>
    </row>
    <row r="606" spans="10:10" x14ac:dyDescent="0.2">
      <c r="J606" s="35"/>
    </row>
    <row r="607" spans="10:10" x14ac:dyDescent="0.2">
      <c r="J607" s="35"/>
    </row>
    <row r="608" spans="10:10" x14ac:dyDescent="0.2">
      <c r="J608" s="35"/>
    </row>
    <row r="609" spans="10:10" x14ac:dyDescent="0.2">
      <c r="J609" s="35"/>
    </row>
    <row r="610" spans="10:10" x14ac:dyDescent="0.2">
      <c r="J610" s="35"/>
    </row>
    <row r="611" spans="10:10" x14ac:dyDescent="0.2">
      <c r="J611" s="35"/>
    </row>
    <row r="612" spans="10:10" x14ac:dyDescent="0.2">
      <c r="J612" s="35"/>
    </row>
    <row r="613" spans="10:10" x14ac:dyDescent="0.2">
      <c r="J613" s="35"/>
    </row>
    <row r="614" spans="10:10" x14ac:dyDescent="0.2">
      <c r="J614" s="35"/>
    </row>
    <row r="615" spans="10:10" x14ac:dyDescent="0.2">
      <c r="J615" s="35"/>
    </row>
    <row r="616" spans="10:10" x14ac:dyDescent="0.2">
      <c r="J616" s="35"/>
    </row>
    <row r="617" spans="10:10" x14ac:dyDescent="0.2">
      <c r="J617" s="35"/>
    </row>
    <row r="618" spans="10:10" x14ac:dyDescent="0.2">
      <c r="J618" s="35"/>
    </row>
    <row r="619" spans="10:10" x14ac:dyDescent="0.2">
      <c r="J619" s="35"/>
    </row>
    <row r="620" spans="10:10" x14ac:dyDescent="0.2">
      <c r="J620" s="35"/>
    </row>
    <row r="621" spans="10:10" x14ac:dyDescent="0.2">
      <c r="J621" s="35"/>
    </row>
    <row r="622" spans="10:10" x14ac:dyDescent="0.2">
      <c r="J622" s="35"/>
    </row>
    <row r="623" spans="10:10" x14ac:dyDescent="0.2">
      <c r="J623" s="35"/>
    </row>
    <row r="624" spans="10:10" x14ac:dyDescent="0.2">
      <c r="J624" s="35"/>
    </row>
    <row r="625" spans="10:10" x14ac:dyDescent="0.2">
      <c r="J625" s="35"/>
    </row>
    <row r="626" spans="10:10" x14ac:dyDescent="0.2">
      <c r="J626" s="35"/>
    </row>
    <row r="627" spans="10:10" x14ac:dyDescent="0.2">
      <c r="J627" s="35"/>
    </row>
    <row r="628" spans="10:10" x14ac:dyDescent="0.2">
      <c r="J628" s="35"/>
    </row>
    <row r="629" spans="10:10" x14ac:dyDescent="0.2">
      <c r="J629" s="35"/>
    </row>
    <row r="630" spans="10:10" x14ac:dyDescent="0.2">
      <c r="J630" s="35"/>
    </row>
    <row r="631" spans="10:10" x14ac:dyDescent="0.2">
      <c r="J631" s="35"/>
    </row>
    <row r="632" spans="10:10" x14ac:dyDescent="0.2">
      <c r="J632" s="35"/>
    </row>
    <row r="633" spans="10:10" x14ac:dyDescent="0.2">
      <c r="J633" s="35"/>
    </row>
    <row r="634" spans="10:10" x14ac:dyDescent="0.2">
      <c r="J634" s="35"/>
    </row>
    <row r="635" spans="10:10" x14ac:dyDescent="0.2">
      <c r="J635" s="35"/>
    </row>
    <row r="636" spans="10:10" x14ac:dyDescent="0.2">
      <c r="J636" s="35"/>
    </row>
    <row r="637" spans="10:10" x14ac:dyDescent="0.2">
      <c r="J637" s="35"/>
    </row>
    <row r="638" spans="10:10" x14ac:dyDescent="0.2">
      <c r="J638" s="35"/>
    </row>
    <row r="639" spans="10:10" x14ac:dyDescent="0.2">
      <c r="J639" s="35"/>
    </row>
    <row r="640" spans="10:10" x14ac:dyDescent="0.2">
      <c r="J640" s="35"/>
    </row>
    <row r="641" spans="10:10" x14ac:dyDescent="0.2">
      <c r="J641" s="35"/>
    </row>
    <row r="642" spans="10:10" x14ac:dyDescent="0.2">
      <c r="J642" s="35"/>
    </row>
    <row r="643" spans="10:10" x14ac:dyDescent="0.2">
      <c r="J643" s="35"/>
    </row>
    <row r="644" spans="10:10" x14ac:dyDescent="0.2">
      <c r="J644" s="35"/>
    </row>
    <row r="645" spans="10:10" x14ac:dyDescent="0.2">
      <c r="J645" s="35"/>
    </row>
    <row r="646" spans="10:10" x14ac:dyDescent="0.2">
      <c r="J646" s="35"/>
    </row>
    <row r="647" spans="10:10" x14ac:dyDescent="0.2">
      <c r="J647" s="35"/>
    </row>
    <row r="648" spans="10:10" x14ac:dyDescent="0.2">
      <c r="J648" s="35"/>
    </row>
    <row r="649" spans="10:10" x14ac:dyDescent="0.2">
      <c r="J649" s="35"/>
    </row>
    <row r="650" spans="10:10" x14ac:dyDescent="0.2">
      <c r="J650" s="35"/>
    </row>
    <row r="651" spans="10:10" x14ac:dyDescent="0.2">
      <c r="J651" s="35"/>
    </row>
    <row r="652" spans="10:10" x14ac:dyDescent="0.2">
      <c r="J652" s="35"/>
    </row>
    <row r="653" spans="10:10" x14ac:dyDescent="0.2">
      <c r="J653" s="35"/>
    </row>
    <row r="654" spans="10:10" x14ac:dyDescent="0.2">
      <c r="J654" s="35"/>
    </row>
    <row r="655" spans="10:10" x14ac:dyDescent="0.2">
      <c r="J655" s="35"/>
    </row>
    <row r="656" spans="10:10" x14ac:dyDescent="0.2">
      <c r="J656" s="35"/>
    </row>
    <row r="657" spans="10:10" x14ac:dyDescent="0.2">
      <c r="J657" s="35"/>
    </row>
    <row r="658" spans="10:10" x14ac:dyDescent="0.2">
      <c r="J658" s="35"/>
    </row>
    <row r="659" spans="10:10" x14ac:dyDescent="0.2">
      <c r="J659" s="35"/>
    </row>
    <row r="660" spans="10:10" x14ac:dyDescent="0.2">
      <c r="J660" s="35"/>
    </row>
    <row r="661" spans="10:10" x14ac:dyDescent="0.2">
      <c r="J661" s="35"/>
    </row>
    <row r="662" spans="10:10" x14ac:dyDescent="0.2">
      <c r="J662" s="35"/>
    </row>
    <row r="663" spans="10:10" x14ac:dyDescent="0.2">
      <c r="J663" s="35"/>
    </row>
    <row r="664" spans="10:10" x14ac:dyDescent="0.2">
      <c r="J664" s="35"/>
    </row>
    <row r="665" spans="10:10" x14ac:dyDescent="0.2">
      <c r="J665" s="35"/>
    </row>
    <row r="666" spans="10:10" x14ac:dyDescent="0.2">
      <c r="J666" s="35"/>
    </row>
    <row r="667" spans="10:10" x14ac:dyDescent="0.2">
      <c r="J667" s="35"/>
    </row>
    <row r="668" spans="10:10" x14ac:dyDescent="0.2">
      <c r="J668" s="35"/>
    </row>
    <row r="669" spans="10:10" x14ac:dyDescent="0.2">
      <c r="J669" s="35"/>
    </row>
    <row r="670" spans="10:10" x14ac:dyDescent="0.2">
      <c r="J670" s="35"/>
    </row>
    <row r="671" spans="10:10" x14ac:dyDescent="0.2">
      <c r="J671" s="35"/>
    </row>
    <row r="672" spans="10:10" x14ac:dyDescent="0.2">
      <c r="J672" s="35"/>
    </row>
    <row r="673" spans="10:10" x14ac:dyDescent="0.2">
      <c r="J673" s="35"/>
    </row>
    <row r="674" spans="10:10" x14ac:dyDescent="0.2">
      <c r="J674" s="35"/>
    </row>
    <row r="675" spans="10:10" x14ac:dyDescent="0.2">
      <c r="J675" s="35"/>
    </row>
    <row r="676" spans="10:10" x14ac:dyDescent="0.2">
      <c r="J676" s="35"/>
    </row>
    <row r="677" spans="10:10" x14ac:dyDescent="0.2">
      <c r="J677" s="35"/>
    </row>
    <row r="678" spans="10:10" x14ac:dyDescent="0.2">
      <c r="J678" s="35"/>
    </row>
    <row r="679" spans="10:10" x14ac:dyDescent="0.2">
      <c r="J679" s="35"/>
    </row>
    <row r="680" spans="10:10" x14ac:dyDescent="0.2">
      <c r="J680" s="35"/>
    </row>
    <row r="681" spans="10:10" x14ac:dyDescent="0.2">
      <c r="J681" s="35"/>
    </row>
    <row r="682" spans="10:10" x14ac:dyDescent="0.2">
      <c r="J682" s="35"/>
    </row>
    <row r="683" spans="10:10" x14ac:dyDescent="0.2">
      <c r="J683" s="35"/>
    </row>
    <row r="684" spans="10:10" x14ac:dyDescent="0.2">
      <c r="J684" s="35"/>
    </row>
    <row r="685" spans="10:10" x14ac:dyDescent="0.2">
      <c r="J685" s="35"/>
    </row>
    <row r="686" spans="10:10" x14ac:dyDescent="0.2">
      <c r="J686" s="35"/>
    </row>
    <row r="687" spans="10:10" x14ac:dyDescent="0.2">
      <c r="J687" s="35"/>
    </row>
    <row r="688" spans="10:10" x14ac:dyDescent="0.2">
      <c r="J688" s="35"/>
    </row>
    <row r="689" spans="10:10" x14ac:dyDescent="0.2">
      <c r="J689" s="35"/>
    </row>
    <row r="690" spans="10:10" x14ac:dyDescent="0.2">
      <c r="J690" s="35"/>
    </row>
    <row r="691" spans="10:10" x14ac:dyDescent="0.2">
      <c r="J691" s="35"/>
    </row>
    <row r="692" spans="10:10" x14ac:dyDescent="0.2">
      <c r="J692" s="35"/>
    </row>
    <row r="693" spans="10:10" x14ac:dyDescent="0.2">
      <c r="J693" s="35"/>
    </row>
    <row r="694" spans="10:10" x14ac:dyDescent="0.2">
      <c r="J694" s="35"/>
    </row>
    <row r="695" spans="10:10" x14ac:dyDescent="0.2">
      <c r="J695" s="35"/>
    </row>
    <row r="696" spans="10:10" x14ac:dyDescent="0.2">
      <c r="J696" s="35"/>
    </row>
    <row r="697" spans="10:10" x14ac:dyDescent="0.2">
      <c r="J697" s="35"/>
    </row>
    <row r="698" spans="10:10" x14ac:dyDescent="0.2">
      <c r="J698" s="35"/>
    </row>
    <row r="699" spans="10:10" x14ac:dyDescent="0.2">
      <c r="J699" s="35"/>
    </row>
    <row r="700" spans="10:10" x14ac:dyDescent="0.2">
      <c r="J700" s="35"/>
    </row>
    <row r="701" spans="10:10" x14ac:dyDescent="0.2">
      <c r="J701" s="35"/>
    </row>
    <row r="702" spans="10:10" x14ac:dyDescent="0.2">
      <c r="J702" s="35"/>
    </row>
    <row r="703" spans="10:10" x14ac:dyDescent="0.2">
      <c r="J703" s="35"/>
    </row>
    <row r="704" spans="10:10" x14ac:dyDescent="0.2">
      <c r="J704" s="35"/>
    </row>
    <row r="705" spans="10:10" x14ac:dyDescent="0.2">
      <c r="J705" s="35"/>
    </row>
    <row r="706" spans="10:10" x14ac:dyDescent="0.2">
      <c r="J706" s="35"/>
    </row>
    <row r="707" spans="10:10" x14ac:dyDescent="0.2">
      <c r="J707" s="35"/>
    </row>
    <row r="708" spans="10:10" x14ac:dyDescent="0.2">
      <c r="J708" s="35"/>
    </row>
    <row r="709" spans="10:10" x14ac:dyDescent="0.2">
      <c r="J709" s="35"/>
    </row>
    <row r="710" spans="10:10" x14ac:dyDescent="0.2">
      <c r="J710" s="35"/>
    </row>
    <row r="711" spans="10:10" x14ac:dyDescent="0.2">
      <c r="J711" s="35"/>
    </row>
    <row r="712" spans="10:10" x14ac:dyDescent="0.2">
      <c r="J712" s="35"/>
    </row>
    <row r="713" spans="10:10" x14ac:dyDescent="0.2">
      <c r="J713" s="35"/>
    </row>
    <row r="714" spans="10:10" x14ac:dyDescent="0.2">
      <c r="J714" s="35"/>
    </row>
    <row r="715" spans="10:10" x14ac:dyDescent="0.2">
      <c r="J715" s="35"/>
    </row>
    <row r="716" spans="10:10" x14ac:dyDescent="0.2">
      <c r="J716" s="35"/>
    </row>
    <row r="717" spans="10:10" x14ac:dyDescent="0.2">
      <c r="J717" s="35"/>
    </row>
    <row r="718" spans="10:10" x14ac:dyDescent="0.2">
      <c r="J718" s="35"/>
    </row>
    <row r="719" spans="10:10" x14ac:dyDescent="0.2">
      <c r="J719" s="35"/>
    </row>
    <row r="720" spans="10:10" x14ac:dyDescent="0.2">
      <c r="J720" s="35"/>
    </row>
    <row r="721" spans="10:10" x14ac:dyDescent="0.2">
      <c r="J721" s="35"/>
    </row>
    <row r="722" spans="10:10" x14ac:dyDescent="0.2">
      <c r="J722" s="35"/>
    </row>
    <row r="723" spans="10:10" x14ac:dyDescent="0.2">
      <c r="J723" s="35"/>
    </row>
    <row r="724" spans="10:10" x14ac:dyDescent="0.2">
      <c r="J724" s="35"/>
    </row>
    <row r="725" spans="10:10" x14ac:dyDescent="0.2">
      <c r="J725" s="35"/>
    </row>
    <row r="726" spans="10:10" x14ac:dyDescent="0.2">
      <c r="J726" s="35"/>
    </row>
    <row r="727" spans="10:10" x14ac:dyDescent="0.2">
      <c r="J727" s="35"/>
    </row>
    <row r="728" spans="10:10" x14ac:dyDescent="0.2">
      <c r="J728" s="35"/>
    </row>
    <row r="729" spans="10:10" x14ac:dyDescent="0.2">
      <c r="J729" s="35"/>
    </row>
    <row r="730" spans="10:10" x14ac:dyDescent="0.2">
      <c r="J730" s="35"/>
    </row>
    <row r="731" spans="10:10" x14ac:dyDescent="0.2">
      <c r="J731" s="35"/>
    </row>
    <row r="732" spans="10:10" x14ac:dyDescent="0.2">
      <c r="J732" s="35"/>
    </row>
    <row r="733" spans="10:10" x14ac:dyDescent="0.2">
      <c r="J733" s="35"/>
    </row>
    <row r="734" spans="10:10" x14ac:dyDescent="0.2">
      <c r="J734" s="35"/>
    </row>
    <row r="735" spans="10:10" x14ac:dyDescent="0.2">
      <c r="J735" s="35"/>
    </row>
    <row r="736" spans="10:10" x14ac:dyDescent="0.2">
      <c r="J736" s="35"/>
    </row>
    <row r="737" spans="10:10" x14ac:dyDescent="0.2">
      <c r="J737" s="35"/>
    </row>
    <row r="738" spans="10:10" x14ac:dyDescent="0.2">
      <c r="J738" s="35"/>
    </row>
    <row r="739" spans="10:10" x14ac:dyDescent="0.2">
      <c r="J739" s="35"/>
    </row>
    <row r="740" spans="10:10" x14ac:dyDescent="0.2">
      <c r="J740" s="35"/>
    </row>
    <row r="741" spans="10:10" x14ac:dyDescent="0.2">
      <c r="J741" s="35"/>
    </row>
    <row r="742" spans="10:10" x14ac:dyDescent="0.2">
      <c r="J742" s="35"/>
    </row>
    <row r="743" spans="10:10" x14ac:dyDescent="0.2">
      <c r="J743" s="35"/>
    </row>
    <row r="744" spans="10:10" x14ac:dyDescent="0.2">
      <c r="J744" s="35"/>
    </row>
    <row r="745" spans="10:10" x14ac:dyDescent="0.2">
      <c r="J745" s="35"/>
    </row>
    <row r="746" spans="10:10" x14ac:dyDescent="0.2">
      <c r="J746" s="35"/>
    </row>
    <row r="747" spans="10:10" x14ac:dyDescent="0.2">
      <c r="J747" s="35"/>
    </row>
    <row r="748" spans="10:10" x14ac:dyDescent="0.2">
      <c r="J748" s="35"/>
    </row>
    <row r="749" spans="10:10" x14ac:dyDescent="0.2">
      <c r="J749" s="35"/>
    </row>
    <row r="750" spans="10:10" x14ac:dyDescent="0.2">
      <c r="J750" s="35"/>
    </row>
    <row r="751" spans="10:10" x14ac:dyDescent="0.2">
      <c r="J751" s="35"/>
    </row>
    <row r="752" spans="10:10" x14ac:dyDescent="0.2">
      <c r="J752" s="35"/>
    </row>
    <row r="753" spans="10:10" x14ac:dyDescent="0.2">
      <c r="J753" s="35"/>
    </row>
    <row r="754" spans="10:10" x14ac:dyDescent="0.2">
      <c r="J754" s="35"/>
    </row>
    <row r="755" spans="10:10" x14ac:dyDescent="0.2">
      <c r="J755" s="35"/>
    </row>
    <row r="756" spans="10:10" x14ac:dyDescent="0.2">
      <c r="J756" s="35"/>
    </row>
    <row r="757" spans="10:10" x14ac:dyDescent="0.2">
      <c r="J757" s="35"/>
    </row>
    <row r="758" spans="10:10" x14ac:dyDescent="0.2">
      <c r="J758" s="35"/>
    </row>
    <row r="759" spans="10:10" x14ac:dyDescent="0.2">
      <c r="J759" s="35"/>
    </row>
    <row r="760" spans="10:10" x14ac:dyDescent="0.2">
      <c r="J760" s="35"/>
    </row>
    <row r="761" spans="10:10" x14ac:dyDescent="0.2">
      <c r="J761" s="35"/>
    </row>
    <row r="762" spans="10:10" x14ac:dyDescent="0.2">
      <c r="J762" s="35"/>
    </row>
    <row r="763" spans="10:10" x14ac:dyDescent="0.2">
      <c r="J763" s="35"/>
    </row>
    <row r="764" spans="10:10" x14ac:dyDescent="0.2">
      <c r="J764" s="35"/>
    </row>
    <row r="765" spans="10:10" x14ac:dyDescent="0.2">
      <c r="J765" s="35"/>
    </row>
    <row r="766" spans="10:10" x14ac:dyDescent="0.2">
      <c r="J766" s="35"/>
    </row>
    <row r="767" spans="10:10" x14ac:dyDescent="0.2">
      <c r="J767" s="35"/>
    </row>
    <row r="768" spans="10:10" x14ac:dyDescent="0.2">
      <c r="J768" s="35"/>
    </row>
    <row r="769" spans="10:10" x14ac:dyDescent="0.2">
      <c r="J769" s="35"/>
    </row>
    <row r="770" spans="10:10" x14ac:dyDescent="0.2">
      <c r="J770" s="35"/>
    </row>
    <row r="771" spans="10:10" x14ac:dyDescent="0.2">
      <c r="J771" s="35"/>
    </row>
    <row r="772" spans="10:10" x14ac:dyDescent="0.2">
      <c r="J772" s="35"/>
    </row>
    <row r="773" spans="10:10" x14ac:dyDescent="0.2">
      <c r="J773" s="35"/>
    </row>
    <row r="774" spans="10:10" x14ac:dyDescent="0.2">
      <c r="J774" s="35"/>
    </row>
    <row r="775" spans="10:10" x14ac:dyDescent="0.2">
      <c r="J775" s="35"/>
    </row>
    <row r="776" spans="10:10" x14ac:dyDescent="0.2">
      <c r="J776" s="35"/>
    </row>
    <row r="777" spans="10:10" x14ac:dyDescent="0.2">
      <c r="J777" s="35"/>
    </row>
    <row r="778" spans="10:10" x14ac:dyDescent="0.2">
      <c r="J778" s="35"/>
    </row>
    <row r="779" spans="10:10" x14ac:dyDescent="0.2">
      <c r="J779" s="35"/>
    </row>
    <row r="780" spans="10:10" x14ac:dyDescent="0.2">
      <c r="J780" s="35"/>
    </row>
    <row r="781" spans="10:10" x14ac:dyDescent="0.2">
      <c r="J781" s="35"/>
    </row>
    <row r="782" spans="10:10" x14ac:dyDescent="0.2">
      <c r="J782" s="35"/>
    </row>
    <row r="783" spans="10:10" x14ac:dyDescent="0.2">
      <c r="J783" s="35"/>
    </row>
    <row r="784" spans="10:10" x14ac:dyDescent="0.2">
      <c r="J784" s="35"/>
    </row>
    <row r="785" spans="10:10" x14ac:dyDescent="0.2">
      <c r="J785" s="35"/>
    </row>
    <row r="786" spans="10:10" x14ac:dyDescent="0.2">
      <c r="J786" s="35"/>
    </row>
    <row r="787" spans="10:10" x14ac:dyDescent="0.2">
      <c r="J787" s="35"/>
    </row>
    <row r="788" spans="10:10" x14ac:dyDescent="0.2">
      <c r="J788" s="35"/>
    </row>
    <row r="789" spans="10:10" x14ac:dyDescent="0.2">
      <c r="J789" s="35"/>
    </row>
    <row r="790" spans="10:10" x14ac:dyDescent="0.2">
      <c r="J790" s="35"/>
    </row>
    <row r="791" spans="10:10" x14ac:dyDescent="0.2">
      <c r="J791" s="35"/>
    </row>
    <row r="792" spans="10:10" x14ac:dyDescent="0.2">
      <c r="J792" s="35"/>
    </row>
    <row r="793" spans="10:10" x14ac:dyDescent="0.2">
      <c r="J793" s="35"/>
    </row>
    <row r="794" spans="10:10" x14ac:dyDescent="0.2">
      <c r="J794" s="35"/>
    </row>
    <row r="795" spans="10:10" x14ac:dyDescent="0.2">
      <c r="J795" s="35"/>
    </row>
    <row r="796" spans="10:10" x14ac:dyDescent="0.2">
      <c r="J796" s="35"/>
    </row>
    <row r="797" spans="10:10" x14ac:dyDescent="0.2">
      <c r="J797" s="35"/>
    </row>
    <row r="798" spans="10:10" x14ac:dyDescent="0.2">
      <c r="J798" s="35"/>
    </row>
    <row r="799" spans="10:10" x14ac:dyDescent="0.2">
      <c r="J799" s="35"/>
    </row>
    <row r="800" spans="10:10" x14ac:dyDescent="0.2">
      <c r="J800" s="35"/>
    </row>
    <row r="801" spans="10:10" x14ac:dyDescent="0.2">
      <c r="J801" s="35"/>
    </row>
    <row r="802" spans="10:10" x14ac:dyDescent="0.2">
      <c r="J802" s="35"/>
    </row>
    <row r="803" spans="10:10" x14ac:dyDescent="0.2">
      <c r="J803" s="35"/>
    </row>
    <row r="804" spans="10:10" x14ac:dyDescent="0.2">
      <c r="J804" s="35"/>
    </row>
    <row r="805" spans="10:10" x14ac:dyDescent="0.2">
      <c r="J805" s="35"/>
    </row>
    <row r="806" spans="10:10" x14ac:dyDescent="0.2">
      <c r="J806" s="35"/>
    </row>
    <row r="807" spans="10:10" x14ac:dyDescent="0.2">
      <c r="J807" s="35"/>
    </row>
    <row r="808" spans="10:10" x14ac:dyDescent="0.2">
      <c r="J808" s="35"/>
    </row>
    <row r="809" spans="10:10" x14ac:dyDescent="0.2">
      <c r="J809" s="35"/>
    </row>
    <row r="810" spans="10:10" x14ac:dyDescent="0.2">
      <c r="J810" s="35"/>
    </row>
    <row r="811" spans="10:10" x14ac:dyDescent="0.2">
      <c r="J811" s="35"/>
    </row>
    <row r="812" spans="10:10" x14ac:dyDescent="0.2">
      <c r="J812" s="35"/>
    </row>
    <row r="813" spans="10:10" x14ac:dyDescent="0.2">
      <c r="J813" s="35"/>
    </row>
    <row r="814" spans="10:10" x14ac:dyDescent="0.2">
      <c r="J814" s="35"/>
    </row>
    <row r="815" spans="10:10" x14ac:dyDescent="0.2">
      <c r="J815" s="35"/>
    </row>
    <row r="816" spans="10:10" x14ac:dyDescent="0.2">
      <c r="J816" s="35"/>
    </row>
    <row r="817" spans="10:10" x14ac:dyDescent="0.2">
      <c r="J817" s="35"/>
    </row>
    <row r="818" spans="10:10" x14ac:dyDescent="0.2">
      <c r="J818" s="35"/>
    </row>
    <row r="819" spans="10:10" x14ac:dyDescent="0.2">
      <c r="J819" s="35"/>
    </row>
    <row r="820" spans="10:10" x14ac:dyDescent="0.2">
      <c r="J820" s="35"/>
    </row>
    <row r="821" spans="10:10" x14ac:dyDescent="0.2">
      <c r="J821" s="35"/>
    </row>
    <row r="822" spans="10:10" x14ac:dyDescent="0.2">
      <c r="J822" s="35"/>
    </row>
    <row r="823" spans="10:10" x14ac:dyDescent="0.2">
      <c r="J823" s="35"/>
    </row>
    <row r="824" spans="10:10" x14ac:dyDescent="0.2">
      <c r="J824" s="35"/>
    </row>
    <row r="825" spans="10:10" x14ac:dyDescent="0.2">
      <c r="J825" s="35"/>
    </row>
    <row r="826" spans="10:10" x14ac:dyDescent="0.2">
      <c r="J826" s="35"/>
    </row>
    <row r="827" spans="10:10" x14ac:dyDescent="0.2">
      <c r="J827" s="35"/>
    </row>
    <row r="828" spans="10:10" x14ac:dyDescent="0.2">
      <c r="J828" s="35"/>
    </row>
    <row r="829" spans="10:10" x14ac:dyDescent="0.2">
      <c r="J829" s="35"/>
    </row>
    <row r="830" spans="10:10" x14ac:dyDescent="0.2">
      <c r="J830" s="35"/>
    </row>
    <row r="831" spans="10:10" x14ac:dyDescent="0.2">
      <c r="J831" s="35"/>
    </row>
    <row r="832" spans="10:10" x14ac:dyDescent="0.2">
      <c r="J832" s="35"/>
    </row>
    <row r="833" spans="10:10" x14ac:dyDescent="0.2">
      <c r="J833" s="35"/>
    </row>
    <row r="834" spans="10:10" x14ac:dyDescent="0.2">
      <c r="J834" s="35"/>
    </row>
    <row r="835" spans="10:10" x14ac:dyDescent="0.2">
      <c r="J835" s="35"/>
    </row>
    <row r="836" spans="10:10" x14ac:dyDescent="0.2">
      <c r="J836" s="35"/>
    </row>
    <row r="837" spans="10:10" x14ac:dyDescent="0.2">
      <c r="J837" s="35"/>
    </row>
    <row r="838" spans="10:10" x14ac:dyDescent="0.2">
      <c r="J838" s="35"/>
    </row>
    <row r="839" spans="10:10" x14ac:dyDescent="0.2">
      <c r="J839" s="35"/>
    </row>
    <row r="840" spans="10:10" x14ac:dyDescent="0.2">
      <c r="J840" s="35"/>
    </row>
    <row r="841" spans="10:10" x14ac:dyDescent="0.2">
      <c r="J841" s="35"/>
    </row>
    <row r="842" spans="10:10" x14ac:dyDescent="0.2">
      <c r="J842" s="35"/>
    </row>
    <row r="843" spans="10:10" x14ac:dyDescent="0.2">
      <c r="J843" s="35"/>
    </row>
    <row r="844" spans="10:10" x14ac:dyDescent="0.2">
      <c r="J844" s="35"/>
    </row>
    <row r="845" spans="10:10" x14ac:dyDescent="0.2">
      <c r="J845" s="35"/>
    </row>
    <row r="846" spans="10:10" x14ac:dyDescent="0.2">
      <c r="J846" s="35"/>
    </row>
    <row r="847" spans="10:10" x14ac:dyDescent="0.2">
      <c r="J847" s="35"/>
    </row>
    <row r="848" spans="10:10" x14ac:dyDescent="0.2">
      <c r="J848" s="35"/>
    </row>
    <row r="849" spans="10:10" x14ac:dyDescent="0.2">
      <c r="J849" s="35"/>
    </row>
    <row r="850" spans="10:10" x14ac:dyDescent="0.2">
      <c r="J850" s="35"/>
    </row>
    <row r="851" spans="10:10" x14ac:dyDescent="0.2">
      <c r="J851" s="35"/>
    </row>
    <row r="852" spans="10:10" x14ac:dyDescent="0.2">
      <c r="J852" s="35"/>
    </row>
    <row r="853" spans="10:10" x14ac:dyDescent="0.2">
      <c r="J853" s="35"/>
    </row>
    <row r="854" spans="10:10" x14ac:dyDescent="0.2">
      <c r="J854" s="35"/>
    </row>
    <row r="855" spans="10:10" x14ac:dyDescent="0.2">
      <c r="J855" s="35"/>
    </row>
    <row r="856" spans="10:10" x14ac:dyDescent="0.2">
      <c r="J856" s="35"/>
    </row>
    <row r="857" spans="10:10" x14ac:dyDescent="0.2">
      <c r="J857" s="35"/>
    </row>
    <row r="858" spans="10:10" x14ac:dyDescent="0.2">
      <c r="J858" s="35"/>
    </row>
    <row r="859" spans="10:10" x14ac:dyDescent="0.2">
      <c r="J859" s="35"/>
    </row>
    <row r="860" spans="10:10" x14ac:dyDescent="0.2">
      <c r="J860" s="35"/>
    </row>
    <row r="861" spans="10:10" x14ac:dyDescent="0.2">
      <c r="J861" s="35"/>
    </row>
    <row r="862" spans="10:10" x14ac:dyDescent="0.2">
      <c r="J862" s="35"/>
    </row>
    <row r="863" spans="10:10" x14ac:dyDescent="0.2">
      <c r="J863" s="35"/>
    </row>
    <row r="864" spans="10:10" x14ac:dyDescent="0.2">
      <c r="J864" s="35"/>
    </row>
    <row r="865" spans="10:10" x14ac:dyDescent="0.2">
      <c r="J865" s="35"/>
    </row>
    <row r="866" spans="10:10" x14ac:dyDescent="0.2">
      <c r="J866" s="35"/>
    </row>
    <row r="867" spans="10:10" x14ac:dyDescent="0.2">
      <c r="J867" s="35"/>
    </row>
    <row r="868" spans="10:10" x14ac:dyDescent="0.2">
      <c r="J868" s="35"/>
    </row>
    <row r="869" spans="10:10" x14ac:dyDescent="0.2">
      <c r="J869" s="35"/>
    </row>
    <row r="870" spans="10:10" x14ac:dyDescent="0.2">
      <c r="J870" s="35"/>
    </row>
    <row r="871" spans="10:10" x14ac:dyDescent="0.2">
      <c r="J871" s="35"/>
    </row>
    <row r="872" spans="10:10" x14ac:dyDescent="0.2">
      <c r="J872" s="35"/>
    </row>
    <row r="873" spans="10:10" x14ac:dyDescent="0.2">
      <c r="J873" s="35"/>
    </row>
    <row r="874" spans="10:10" x14ac:dyDescent="0.2">
      <c r="J874" s="35"/>
    </row>
    <row r="875" spans="10:10" x14ac:dyDescent="0.2">
      <c r="J875" s="35"/>
    </row>
    <row r="876" spans="10:10" x14ac:dyDescent="0.2">
      <c r="J876" s="35"/>
    </row>
    <row r="877" spans="10:10" x14ac:dyDescent="0.2">
      <c r="J877" s="35"/>
    </row>
    <row r="878" spans="10:10" x14ac:dyDescent="0.2">
      <c r="J878" s="35"/>
    </row>
    <row r="879" spans="10:10" x14ac:dyDescent="0.2">
      <c r="J879" s="35"/>
    </row>
    <row r="880" spans="10:10" x14ac:dyDescent="0.2">
      <c r="J880" s="35"/>
    </row>
    <row r="881" spans="10:10" x14ac:dyDescent="0.2">
      <c r="J881" s="35"/>
    </row>
    <row r="882" spans="10:10" x14ac:dyDescent="0.2">
      <c r="J882" s="35"/>
    </row>
    <row r="883" spans="10:10" x14ac:dyDescent="0.2">
      <c r="J883" s="35"/>
    </row>
    <row r="884" spans="10:10" x14ac:dyDescent="0.2">
      <c r="J884" s="35"/>
    </row>
    <row r="885" spans="10:10" x14ac:dyDescent="0.2">
      <c r="J885" s="35"/>
    </row>
    <row r="886" spans="10:10" x14ac:dyDescent="0.2">
      <c r="J886" s="35"/>
    </row>
    <row r="887" spans="10:10" x14ac:dyDescent="0.2">
      <c r="J887" s="35"/>
    </row>
    <row r="888" spans="10:10" x14ac:dyDescent="0.2">
      <c r="J888" s="35"/>
    </row>
    <row r="889" spans="10:10" x14ac:dyDescent="0.2">
      <c r="J889" s="35"/>
    </row>
    <row r="890" spans="10:10" x14ac:dyDescent="0.2">
      <c r="J890" s="35"/>
    </row>
    <row r="891" spans="10:10" x14ac:dyDescent="0.2">
      <c r="J891" s="35"/>
    </row>
    <row r="892" spans="10:10" x14ac:dyDescent="0.2">
      <c r="J892" s="35"/>
    </row>
    <row r="893" spans="10:10" x14ac:dyDescent="0.2">
      <c r="J893" s="35"/>
    </row>
    <row r="894" spans="10:10" x14ac:dyDescent="0.2">
      <c r="J894" s="35"/>
    </row>
    <row r="895" spans="10:10" x14ac:dyDescent="0.2">
      <c r="J895" s="35"/>
    </row>
    <row r="896" spans="10:10" x14ac:dyDescent="0.2">
      <c r="J896" s="35"/>
    </row>
    <row r="897" spans="10:10" x14ac:dyDescent="0.2">
      <c r="J897" s="35"/>
    </row>
    <row r="898" spans="10:10" x14ac:dyDescent="0.2">
      <c r="J898" s="35"/>
    </row>
    <row r="899" spans="10:10" x14ac:dyDescent="0.2">
      <c r="J899" s="35"/>
    </row>
    <row r="900" spans="10:10" x14ac:dyDescent="0.2">
      <c r="J900" s="35"/>
    </row>
    <row r="901" spans="10:10" x14ac:dyDescent="0.2">
      <c r="J901" s="35"/>
    </row>
    <row r="902" spans="10:10" x14ac:dyDescent="0.2">
      <c r="J902" s="35"/>
    </row>
    <row r="903" spans="10:10" x14ac:dyDescent="0.2">
      <c r="J903" s="35"/>
    </row>
    <row r="904" spans="10:10" x14ac:dyDescent="0.2">
      <c r="J904" s="35"/>
    </row>
    <row r="905" spans="10:10" x14ac:dyDescent="0.2">
      <c r="J905" s="35"/>
    </row>
    <row r="906" spans="10:10" x14ac:dyDescent="0.2">
      <c r="J906" s="35"/>
    </row>
    <row r="907" spans="10:10" x14ac:dyDescent="0.2">
      <c r="J907" s="35"/>
    </row>
    <row r="908" spans="10:10" x14ac:dyDescent="0.2">
      <c r="J908" s="35"/>
    </row>
    <row r="909" spans="10:10" x14ac:dyDescent="0.2">
      <c r="J909" s="35"/>
    </row>
    <row r="910" spans="10:10" x14ac:dyDescent="0.2">
      <c r="J910" s="35"/>
    </row>
    <row r="911" spans="10:10" x14ac:dyDescent="0.2">
      <c r="J911" s="35"/>
    </row>
    <row r="912" spans="10:10" x14ac:dyDescent="0.2">
      <c r="J912" s="35"/>
    </row>
    <row r="913" spans="10:10" x14ac:dyDescent="0.2">
      <c r="J913" s="35"/>
    </row>
    <row r="914" spans="10:10" x14ac:dyDescent="0.2">
      <c r="J914" s="35"/>
    </row>
    <row r="915" spans="10:10" x14ac:dyDescent="0.2">
      <c r="J915" s="35"/>
    </row>
    <row r="916" spans="10:10" x14ac:dyDescent="0.2">
      <c r="J916" s="35"/>
    </row>
    <row r="917" spans="10:10" x14ac:dyDescent="0.2">
      <c r="J917" s="35"/>
    </row>
    <row r="918" spans="10:10" x14ac:dyDescent="0.2">
      <c r="J918" s="35"/>
    </row>
    <row r="919" spans="10:10" x14ac:dyDescent="0.2">
      <c r="J919" s="35"/>
    </row>
    <row r="920" spans="10:10" x14ac:dyDescent="0.2">
      <c r="J920" s="35"/>
    </row>
    <row r="921" spans="10:10" x14ac:dyDescent="0.2">
      <c r="J921" s="35"/>
    </row>
    <row r="922" spans="10:10" x14ac:dyDescent="0.2">
      <c r="J922" s="35"/>
    </row>
    <row r="923" spans="10:10" x14ac:dyDescent="0.2">
      <c r="J923" s="35"/>
    </row>
    <row r="924" spans="10:10" x14ac:dyDescent="0.2">
      <c r="J924" s="35"/>
    </row>
    <row r="925" spans="10:10" x14ac:dyDescent="0.2">
      <c r="J925" s="35"/>
    </row>
    <row r="926" spans="10:10" x14ac:dyDescent="0.2">
      <c r="J926" s="35"/>
    </row>
    <row r="927" spans="10:10" x14ac:dyDescent="0.2">
      <c r="J927" s="35"/>
    </row>
    <row r="928" spans="10:10" x14ac:dyDescent="0.2">
      <c r="J928" s="35"/>
    </row>
    <row r="929" spans="10:10" x14ac:dyDescent="0.2">
      <c r="J929" s="35"/>
    </row>
    <row r="930" spans="10:10" x14ac:dyDescent="0.2">
      <c r="J930" s="35"/>
    </row>
    <row r="931" spans="10:10" x14ac:dyDescent="0.2">
      <c r="J931" s="35"/>
    </row>
    <row r="932" spans="10:10" x14ac:dyDescent="0.2">
      <c r="J932" s="35"/>
    </row>
    <row r="933" spans="10:10" x14ac:dyDescent="0.2">
      <c r="J933" s="35"/>
    </row>
    <row r="934" spans="10:10" x14ac:dyDescent="0.2">
      <c r="J934" s="35"/>
    </row>
    <row r="935" spans="10:10" x14ac:dyDescent="0.2">
      <c r="J935" s="35"/>
    </row>
    <row r="936" spans="10:10" x14ac:dyDescent="0.2">
      <c r="J936" s="35"/>
    </row>
    <row r="937" spans="10:10" x14ac:dyDescent="0.2">
      <c r="J937" s="35"/>
    </row>
    <row r="938" spans="10:10" x14ac:dyDescent="0.2">
      <c r="J938" s="35"/>
    </row>
    <row r="939" spans="10:10" x14ac:dyDescent="0.2">
      <c r="J939" s="35"/>
    </row>
    <row r="940" spans="10:10" x14ac:dyDescent="0.2">
      <c r="J940" s="35"/>
    </row>
    <row r="941" spans="10:10" x14ac:dyDescent="0.2">
      <c r="J941" s="35"/>
    </row>
    <row r="942" spans="10:10" x14ac:dyDescent="0.2">
      <c r="J942" s="35"/>
    </row>
    <row r="943" spans="10:10" x14ac:dyDescent="0.2">
      <c r="J943" s="35"/>
    </row>
    <row r="944" spans="10:10" x14ac:dyDescent="0.2">
      <c r="J944" s="35"/>
    </row>
    <row r="945" spans="10:10" x14ac:dyDescent="0.2">
      <c r="J945" s="35"/>
    </row>
    <row r="946" spans="10:10" x14ac:dyDescent="0.2">
      <c r="J946" s="35"/>
    </row>
    <row r="947" spans="10:10" x14ac:dyDescent="0.2">
      <c r="J947" s="35"/>
    </row>
    <row r="948" spans="10:10" x14ac:dyDescent="0.2">
      <c r="J948" s="35"/>
    </row>
    <row r="949" spans="10:10" x14ac:dyDescent="0.2">
      <c r="J949" s="35"/>
    </row>
    <row r="950" spans="10:10" x14ac:dyDescent="0.2">
      <c r="J950" s="35"/>
    </row>
    <row r="951" spans="10:10" x14ac:dyDescent="0.2">
      <c r="J951" s="35"/>
    </row>
    <row r="952" spans="10:10" x14ac:dyDescent="0.2">
      <c r="J952" s="35"/>
    </row>
    <row r="953" spans="10:10" x14ac:dyDescent="0.2">
      <c r="J953" s="35"/>
    </row>
    <row r="954" spans="10:10" x14ac:dyDescent="0.2">
      <c r="J954" s="35"/>
    </row>
    <row r="955" spans="10:10" x14ac:dyDescent="0.2">
      <c r="J955" s="35"/>
    </row>
    <row r="956" spans="10:10" x14ac:dyDescent="0.2">
      <c r="J956" s="35"/>
    </row>
    <row r="957" spans="10:10" x14ac:dyDescent="0.2">
      <c r="J957" s="35"/>
    </row>
    <row r="958" spans="10:10" x14ac:dyDescent="0.2">
      <c r="J958" s="35"/>
    </row>
    <row r="959" spans="10:10" x14ac:dyDescent="0.2">
      <c r="J959" s="35"/>
    </row>
    <row r="960" spans="10:10" x14ac:dyDescent="0.2">
      <c r="J960" s="35"/>
    </row>
    <row r="961" spans="10:10" x14ac:dyDescent="0.2">
      <c r="J961" s="35"/>
    </row>
    <row r="962" spans="10:10" x14ac:dyDescent="0.2">
      <c r="J962" s="35"/>
    </row>
    <row r="963" spans="10:10" x14ac:dyDescent="0.2">
      <c r="J963" s="35"/>
    </row>
    <row r="964" spans="10:10" x14ac:dyDescent="0.2">
      <c r="J964" s="35"/>
    </row>
    <row r="965" spans="10:10" x14ac:dyDescent="0.2">
      <c r="J965" s="35"/>
    </row>
    <row r="966" spans="10:10" x14ac:dyDescent="0.2">
      <c r="J966" s="35"/>
    </row>
    <row r="967" spans="10:10" x14ac:dyDescent="0.2">
      <c r="J967" s="35"/>
    </row>
    <row r="968" spans="10:10" x14ac:dyDescent="0.2">
      <c r="J968" s="35"/>
    </row>
    <row r="969" spans="10:10" x14ac:dyDescent="0.2">
      <c r="J969" s="35"/>
    </row>
    <row r="970" spans="10:10" x14ac:dyDescent="0.2">
      <c r="J970" s="35"/>
    </row>
    <row r="971" spans="10:10" x14ac:dyDescent="0.2">
      <c r="J971" s="35"/>
    </row>
    <row r="972" spans="10:10" x14ac:dyDescent="0.2">
      <c r="J972" s="35"/>
    </row>
    <row r="973" spans="10:10" x14ac:dyDescent="0.2">
      <c r="J973" s="35"/>
    </row>
    <row r="974" spans="10:10" x14ac:dyDescent="0.2">
      <c r="J974" s="35"/>
    </row>
    <row r="975" spans="10:10" x14ac:dyDescent="0.2">
      <c r="J975" s="35"/>
    </row>
    <row r="976" spans="10:10" x14ac:dyDescent="0.2">
      <c r="J976" s="35"/>
    </row>
    <row r="977" spans="10:10" x14ac:dyDescent="0.2">
      <c r="J977" s="35"/>
    </row>
    <row r="978" spans="10:10" x14ac:dyDescent="0.2">
      <c r="J978" s="35"/>
    </row>
    <row r="979" spans="10:10" x14ac:dyDescent="0.2">
      <c r="J979" s="35"/>
    </row>
    <row r="980" spans="10:10" x14ac:dyDescent="0.2">
      <c r="J980" s="35"/>
    </row>
    <row r="981" spans="10:10" x14ac:dyDescent="0.2">
      <c r="J981" s="35"/>
    </row>
    <row r="982" spans="10:10" x14ac:dyDescent="0.2">
      <c r="J982" s="35"/>
    </row>
    <row r="983" spans="10:10" x14ac:dyDescent="0.2">
      <c r="J983" s="35"/>
    </row>
    <row r="984" spans="10:10" x14ac:dyDescent="0.2">
      <c r="J984" s="35"/>
    </row>
    <row r="985" spans="10:10" x14ac:dyDescent="0.2">
      <c r="J985" s="35"/>
    </row>
    <row r="986" spans="10:10" x14ac:dyDescent="0.2">
      <c r="J986" s="35"/>
    </row>
    <row r="987" spans="10:10" x14ac:dyDescent="0.2">
      <c r="J987" s="35"/>
    </row>
    <row r="988" spans="10:10" x14ac:dyDescent="0.2">
      <c r="J988" s="35"/>
    </row>
    <row r="989" spans="10:10" x14ac:dyDescent="0.2">
      <c r="J989" s="35"/>
    </row>
    <row r="990" spans="10:10" x14ac:dyDescent="0.2">
      <c r="J990" s="35"/>
    </row>
    <row r="991" spans="10:10" x14ac:dyDescent="0.2">
      <c r="J991" s="35"/>
    </row>
    <row r="992" spans="10:10" x14ac:dyDescent="0.2">
      <c r="J992" s="35"/>
    </row>
    <row r="993" spans="10:10" x14ac:dyDescent="0.2">
      <c r="J993" s="35"/>
    </row>
    <row r="994" spans="10:10" x14ac:dyDescent="0.2">
      <c r="J994" s="35"/>
    </row>
    <row r="995" spans="10:10" x14ac:dyDescent="0.2">
      <c r="J995" s="35"/>
    </row>
    <row r="996" spans="10:10" x14ac:dyDescent="0.2">
      <c r="J996" s="35"/>
    </row>
    <row r="997" spans="10:10" x14ac:dyDescent="0.2">
      <c r="J997" s="35"/>
    </row>
    <row r="998" spans="10:10" x14ac:dyDescent="0.2">
      <c r="J998" s="35"/>
    </row>
    <row r="999" spans="10:10" x14ac:dyDescent="0.2">
      <c r="J999" s="35"/>
    </row>
    <row r="1000" spans="10:10" x14ac:dyDescent="0.2">
      <c r="J1000" s="35"/>
    </row>
    <row r="1001" spans="10:10" x14ac:dyDescent="0.2">
      <c r="J1001" s="35"/>
    </row>
    <row r="1002" spans="10:10" x14ac:dyDescent="0.2">
      <c r="J1002" s="35"/>
    </row>
    <row r="1003" spans="10:10" x14ac:dyDescent="0.2">
      <c r="J1003" s="35"/>
    </row>
    <row r="1004" spans="10:10" x14ac:dyDescent="0.2">
      <c r="J1004" s="35"/>
    </row>
    <row r="1005" spans="10:10" x14ac:dyDescent="0.2">
      <c r="J1005" s="35"/>
    </row>
    <row r="1006" spans="10:10" x14ac:dyDescent="0.2">
      <c r="J1006" s="35"/>
    </row>
    <row r="1007" spans="10:10" x14ac:dyDescent="0.2">
      <c r="J1007" s="35"/>
    </row>
    <row r="1008" spans="10:10" x14ac:dyDescent="0.2">
      <c r="J1008" s="35"/>
    </row>
    <row r="1009" spans="10:10" x14ac:dyDescent="0.2">
      <c r="J1009" s="35"/>
    </row>
    <row r="1010" spans="10:10" x14ac:dyDescent="0.2">
      <c r="J1010" s="35"/>
    </row>
    <row r="1011" spans="10:10" x14ac:dyDescent="0.2">
      <c r="J1011" s="35"/>
    </row>
    <row r="1012" spans="10:10" x14ac:dyDescent="0.2">
      <c r="J1012" s="35"/>
    </row>
    <row r="1013" spans="10:10" x14ac:dyDescent="0.2">
      <c r="J1013" s="35"/>
    </row>
    <row r="1014" spans="10:10" x14ac:dyDescent="0.2">
      <c r="J1014" s="35"/>
    </row>
    <row r="1015" spans="10:10" x14ac:dyDescent="0.2">
      <c r="J1015" s="35"/>
    </row>
    <row r="1016" spans="10:10" x14ac:dyDescent="0.2">
      <c r="J1016" s="35"/>
    </row>
    <row r="1017" spans="10:10" x14ac:dyDescent="0.2">
      <c r="J1017" s="35"/>
    </row>
    <row r="1018" spans="10:10" x14ac:dyDescent="0.2">
      <c r="J1018" s="35"/>
    </row>
    <row r="1019" spans="10:10" x14ac:dyDescent="0.2">
      <c r="J1019" s="35"/>
    </row>
    <row r="1020" spans="10:10" x14ac:dyDescent="0.2">
      <c r="J1020" s="35"/>
    </row>
    <row r="1021" spans="10:10" x14ac:dyDescent="0.2">
      <c r="J1021" s="35"/>
    </row>
    <row r="1022" spans="10:10" x14ac:dyDescent="0.2">
      <c r="J1022" s="35"/>
    </row>
    <row r="1023" spans="10:10" x14ac:dyDescent="0.2">
      <c r="J1023" s="35"/>
    </row>
    <row r="1024" spans="10:10" x14ac:dyDescent="0.2">
      <c r="J1024" s="35"/>
    </row>
    <row r="1025" spans="10:10" x14ac:dyDescent="0.2">
      <c r="J1025" s="35"/>
    </row>
    <row r="1026" spans="10:10" x14ac:dyDescent="0.2">
      <c r="J1026" s="35"/>
    </row>
    <row r="1027" spans="10:10" x14ac:dyDescent="0.2">
      <c r="J1027" s="35"/>
    </row>
    <row r="1028" spans="10:10" x14ac:dyDescent="0.2">
      <c r="J1028" s="35"/>
    </row>
    <row r="1029" spans="10:10" x14ac:dyDescent="0.2">
      <c r="J1029" s="35"/>
    </row>
    <row r="1030" spans="10:10" x14ac:dyDescent="0.2">
      <c r="J1030" s="35"/>
    </row>
    <row r="1031" spans="10:10" x14ac:dyDescent="0.2">
      <c r="J1031" s="35"/>
    </row>
    <row r="1032" spans="10:10" x14ac:dyDescent="0.2">
      <c r="J1032" s="35"/>
    </row>
    <row r="1033" spans="10:10" x14ac:dyDescent="0.2">
      <c r="J1033" s="35"/>
    </row>
    <row r="1034" spans="10:10" x14ac:dyDescent="0.2">
      <c r="J1034" s="35"/>
    </row>
    <row r="1035" spans="10:10" x14ac:dyDescent="0.2">
      <c r="J1035" s="35"/>
    </row>
    <row r="1036" spans="10:10" x14ac:dyDescent="0.2">
      <c r="J1036" s="35"/>
    </row>
    <row r="1037" spans="10:10" x14ac:dyDescent="0.2">
      <c r="J1037" s="35"/>
    </row>
    <row r="1038" spans="10:10" x14ac:dyDescent="0.2">
      <c r="J1038" s="35"/>
    </row>
    <row r="1039" spans="10:10" x14ac:dyDescent="0.2">
      <c r="J1039" s="35"/>
    </row>
    <row r="1040" spans="10:10" x14ac:dyDescent="0.2">
      <c r="J1040" s="35"/>
    </row>
    <row r="1041" spans="10:10" x14ac:dyDescent="0.2">
      <c r="J1041" s="35"/>
    </row>
    <row r="1042" spans="10:10" x14ac:dyDescent="0.2">
      <c r="J1042" s="35"/>
    </row>
    <row r="1043" spans="10:10" x14ac:dyDescent="0.2">
      <c r="J1043" s="35"/>
    </row>
    <row r="1044" spans="10:10" x14ac:dyDescent="0.2">
      <c r="J1044" s="35"/>
    </row>
    <row r="1045" spans="10:10" x14ac:dyDescent="0.2">
      <c r="J1045" s="35"/>
    </row>
    <row r="1046" spans="10:10" x14ac:dyDescent="0.2">
      <c r="J1046" s="35"/>
    </row>
    <row r="1047" spans="10:10" x14ac:dyDescent="0.2">
      <c r="J1047" s="35"/>
    </row>
    <row r="1048" spans="10:10" x14ac:dyDescent="0.2">
      <c r="J1048" s="35"/>
    </row>
    <row r="1049" spans="10:10" x14ac:dyDescent="0.2">
      <c r="J1049" s="35"/>
    </row>
    <row r="1050" spans="10:10" x14ac:dyDescent="0.2">
      <c r="J1050" s="35"/>
    </row>
    <row r="1051" spans="10:10" x14ac:dyDescent="0.2">
      <c r="J1051" s="35"/>
    </row>
    <row r="1052" spans="10:10" x14ac:dyDescent="0.2">
      <c r="J1052" s="35"/>
    </row>
    <row r="1053" spans="10:10" x14ac:dyDescent="0.2">
      <c r="J1053" s="35"/>
    </row>
    <row r="1054" spans="10:10" x14ac:dyDescent="0.2">
      <c r="J1054" s="35"/>
    </row>
    <row r="1055" spans="10:10" x14ac:dyDescent="0.2">
      <c r="J1055" s="35"/>
    </row>
    <row r="1056" spans="10:10" x14ac:dyDescent="0.2">
      <c r="J1056" s="35"/>
    </row>
    <row r="1057" spans="10:10" x14ac:dyDescent="0.2">
      <c r="J1057" s="35"/>
    </row>
    <row r="1058" spans="10:10" x14ac:dyDescent="0.2">
      <c r="J1058" s="35"/>
    </row>
    <row r="1059" spans="10:10" x14ac:dyDescent="0.2">
      <c r="J1059" s="35"/>
    </row>
    <row r="1060" spans="10:10" x14ac:dyDescent="0.2">
      <c r="J1060" s="35"/>
    </row>
    <row r="1061" spans="10:10" x14ac:dyDescent="0.2">
      <c r="J1061" s="35"/>
    </row>
    <row r="1062" spans="10:10" x14ac:dyDescent="0.2">
      <c r="J1062" s="35"/>
    </row>
    <row r="1063" spans="10:10" x14ac:dyDescent="0.2">
      <c r="J1063" s="35"/>
    </row>
    <row r="1064" spans="10:10" x14ac:dyDescent="0.2">
      <c r="J1064" s="35"/>
    </row>
    <row r="1065" spans="10:10" x14ac:dyDescent="0.2">
      <c r="J1065" s="35"/>
    </row>
    <row r="1066" spans="10:10" x14ac:dyDescent="0.2">
      <c r="J1066" s="35"/>
    </row>
    <row r="1067" spans="10:10" x14ac:dyDescent="0.2">
      <c r="J1067" s="35"/>
    </row>
    <row r="1068" spans="10:10" x14ac:dyDescent="0.2">
      <c r="J1068" s="35"/>
    </row>
    <row r="1069" spans="10:10" x14ac:dyDescent="0.2">
      <c r="J1069" s="35"/>
    </row>
    <row r="1070" spans="10:10" x14ac:dyDescent="0.2">
      <c r="J1070" s="35"/>
    </row>
    <row r="1071" spans="10:10" x14ac:dyDescent="0.2">
      <c r="J1071" s="35"/>
    </row>
    <row r="1072" spans="10:10" x14ac:dyDescent="0.2">
      <c r="J1072" s="35"/>
    </row>
    <row r="1073" spans="10:10" x14ac:dyDescent="0.2">
      <c r="J1073" s="35"/>
    </row>
    <row r="1074" spans="10:10" x14ac:dyDescent="0.2">
      <c r="J1074" s="35"/>
    </row>
    <row r="1075" spans="10:10" x14ac:dyDescent="0.2">
      <c r="J1075" s="35"/>
    </row>
    <row r="1076" spans="10:10" x14ac:dyDescent="0.2">
      <c r="J1076" s="35"/>
    </row>
    <row r="1077" spans="10:10" x14ac:dyDescent="0.2">
      <c r="J1077" s="35"/>
    </row>
    <row r="1078" spans="10:10" x14ac:dyDescent="0.2">
      <c r="J1078" s="35"/>
    </row>
    <row r="1079" spans="10:10" x14ac:dyDescent="0.2">
      <c r="J1079" s="35"/>
    </row>
    <row r="1080" spans="10:10" x14ac:dyDescent="0.2">
      <c r="J1080" s="35"/>
    </row>
    <row r="1081" spans="10:10" x14ac:dyDescent="0.2">
      <c r="J1081" s="35"/>
    </row>
    <row r="1082" spans="10:10" x14ac:dyDescent="0.2">
      <c r="J1082" s="35"/>
    </row>
    <row r="1083" spans="10:10" x14ac:dyDescent="0.2">
      <c r="J1083" s="35"/>
    </row>
    <row r="1084" spans="10:10" x14ac:dyDescent="0.2">
      <c r="J1084" s="35"/>
    </row>
    <row r="1085" spans="10:10" x14ac:dyDescent="0.2">
      <c r="J1085" s="35"/>
    </row>
    <row r="1086" spans="10:10" x14ac:dyDescent="0.2">
      <c r="J1086" s="35"/>
    </row>
    <row r="1087" spans="10:10" x14ac:dyDescent="0.2">
      <c r="J1087" s="35"/>
    </row>
    <row r="1088" spans="10:10" x14ac:dyDescent="0.2">
      <c r="J1088" s="35"/>
    </row>
    <row r="1089" spans="10:10" x14ac:dyDescent="0.2">
      <c r="J1089" s="35"/>
    </row>
    <row r="1090" spans="10:10" x14ac:dyDescent="0.2">
      <c r="J1090" s="35"/>
    </row>
    <row r="1091" spans="10:10" x14ac:dyDescent="0.2">
      <c r="J1091" s="35"/>
    </row>
    <row r="1092" spans="10:10" x14ac:dyDescent="0.2">
      <c r="J1092" s="35"/>
    </row>
    <row r="1093" spans="10:10" x14ac:dyDescent="0.2">
      <c r="J1093" s="35"/>
    </row>
    <row r="1094" spans="10:10" x14ac:dyDescent="0.2">
      <c r="J1094" s="35"/>
    </row>
    <row r="1095" spans="10:10" x14ac:dyDescent="0.2">
      <c r="J1095" s="35"/>
    </row>
    <row r="1096" spans="10:10" x14ac:dyDescent="0.2">
      <c r="J1096" s="35"/>
    </row>
    <row r="1097" spans="10:10" x14ac:dyDescent="0.2">
      <c r="J1097" s="35"/>
    </row>
    <row r="1098" spans="10:10" x14ac:dyDescent="0.2">
      <c r="J1098" s="35"/>
    </row>
    <row r="1099" spans="10:10" x14ac:dyDescent="0.2">
      <c r="J1099" s="35"/>
    </row>
    <row r="1100" spans="10:10" x14ac:dyDescent="0.2">
      <c r="J1100" s="35"/>
    </row>
    <row r="1101" spans="10:10" x14ac:dyDescent="0.2">
      <c r="J1101" s="35"/>
    </row>
    <row r="1102" spans="10:10" x14ac:dyDescent="0.2">
      <c r="J1102" s="35"/>
    </row>
    <row r="1103" spans="10:10" x14ac:dyDescent="0.2">
      <c r="J1103" s="35"/>
    </row>
    <row r="1104" spans="10:10" x14ac:dyDescent="0.2">
      <c r="J1104" s="35"/>
    </row>
    <row r="1105" spans="10:10" x14ac:dyDescent="0.2">
      <c r="J1105" s="35"/>
    </row>
    <row r="1106" spans="10:10" x14ac:dyDescent="0.2">
      <c r="J1106" s="35"/>
    </row>
    <row r="1107" spans="10:10" x14ac:dyDescent="0.2">
      <c r="J1107" s="35"/>
    </row>
    <row r="1108" spans="10:10" x14ac:dyDescent="0.2">
      <c r="J1108" s="35"/>
    </row>
    <row r="1109" spans="10:10" x14ac:dyDescent="0.2">
      <c r="J1109" s="35"/>
    </row>
    <row r="1110" spans="10:10" x14ac:dyDescent="0.2">
      <c r="J1110" s="35"/>
    </row>
    <row r="1111" spans="10:10" x14ac:dyDescent="0.2">
      <c r="J1111" s="35"/>
    </row>
    <row r="1112" spans="10:10" x14ac:dyDescent="0.2">
      <c r="J1112" s="35"/>
    </row>
    <row r="1113" spans="10:10" x14ac:dyDescent="0.2">
      <c r="J1113" s="35"/>
    </row>
    <row r="1114" spans="10:10" x14ac:dyDescent="0.2">
      <c r="J1114" s="35"/>
    </row>
    <row r="1115" spans="10:10" x14ac:dyDescent="0.2">
      <c r="J1115" s="35"/>
    </row>
    <row r="1116" spans="10:10" x14ac:dyDescent="0.2">
      <c r="J1116" s="35"/>
    </row>
    <row r="1117" spans="10:10" x14ac:dyDescent="0.2">
      <c r="J1117" s="35"/>
    </row>
    <row r="1118" spans="10:10" x14ac:dyDescent="0.2">
      <c r="J1118" s="35"/>
    </row>
    <row r="1119" spans="10:10" x14ac:dyDescent="0.2">
      <c r="J1119" s="35"/>
    </row>
    <row r="1120" spans="10:10" x14ac:dyDescent="0.2">
      <c r="J1120" s="35"/>
    </row>
    <row r="1121" spans="10:10" x14ac:dyDescent="0.2">
      <c r="J1121" s="35"/>
    </row>
    <row r="1122" spans="10:10" x14ac:dyDescent="0.2">
      <c r="J1122" s="35"/>
    </row>
    <row r="1123" spans="10:10" x14ac:dyDescent="0.2">
      <c r="J1123" s="35"/>
    </row>
    <row r="1124" spans="10:10" x14ac:dyDescent="0.2">
      <c r="J1124" s="35"/>
    </row>
    <row r="1125" spans="10:10" x14ac:dyDescent="0.2">
      <c r="J1125" s="35"/>
    </row>
    <row r="1126" spans="10:10" x14ac:dyDescent="0.2">
      <c r="J1126" s="35"/>
    </row>
    <row r="1127" spans="10:10" x14ac:dyDescent="0.2">
      <c r="J1127" s="35"/>
    </row>
    <row r="1128" spans="10:10" x14ac:dyDescent="0.2">
      <c r="J1128" s="35"/>
    </row>
    <row r="1129" spans="10:10" x14ac:dyDescent="0.2">
      <c r="J1129" s="35"/>
    </row>
    <row r="1130" spans="10:10" x14ac:dyDescent="0.2">
      <c r="J1130" s="35"/>
    </row>
    <row r="1131" spans="10:10" x14ac:dyDescent="0.2">
      <c r="J1131" s="35"/>
    </row>
    <row r="1132" spans="10:10" x14ac:dyDescent="0.2">
      <c r="J1132" s="35"/>
    </row>
    <row r="1133" spans="10:10" x14ac:dyDescent="0.2">
      <c r="J1133" s="35"/>
    </row>
    <row r="1134" spans="10:10" x14ac:dyDescent="0.2">
      <c r="J1134" s="35"/>
    </row>
    <row r="1135" spans="10:10" x14ac:dyDescent="0.2">
      <c r="J1135" s="35"/>
    </row>
    <row r="1136" spans="10:10" x14ac:dyDescent="0.2">
      <c r="J1136" s="35"/>
    </row>
    <row r="1137" spans="10:10" x14ac:dyDescent="0.2">
      <c r="J1137" s="35"/>
    </row>
    <row r="1138" spans="10:10" x14ac:dyDescent="0.2">
      <c r="J1138" s="35"/>
    </row>
    <row r="1139" spans="10:10" x14ac:dyDescent="0.2">
      <c r="J1139" s="35"/>
    </row>
    <row r="1140" spans="10:10" x14ac:dyDescent="0.2">
      <c r="J1140" s="35"/>
    </row>
    <row r="1141" spans="10:10" x14ac:dyDescent="0.2">
      <c r="J1141" s="35"/>
    </row>
    <row r="1142" spans="10:10" x14ac:dyDescent="0.2">
      <c r="J1142" s="35"/>
    </row>
    <row r="1143" spans="10:10" x14ac:dyDescent="0.2">
      <c r="J1143" s="35"/>
    </row>
    <row r="1144" spans="10:10" x14ac:dyDescent="0.2">
      <c r="J1144" s="35"/>
    </row>
    <row r="1145" spans="10:10" x14ac:dyDescent="0.2">
      <c r="J1145" s="35"/>
    </row>
    <row r="1146" spans="10:10" x14ac:dyDescent="0.2">
      <c r="J1146" s="35"/>
    </row>
    <row r="1147" spans="10:10" x14ac:dyDescent="0.2">
      <c r="J1147" s="35"/>
    </row>
    <row r="1148" spans="10:10" x14ac:dyDescent="0.2">
      <c r="J1148" s="35"/>
    </row>
    <row r="1149" spans="10:10" x14ac:dyDescent="0.2">
      <c r="J1149" s="35"/>
    </row>
    <row r="1150" spans="10:10" x14ac:dyDescent="0.2">
      <c r="J1150" s="35"/>
    </row>
    <row r="1151" spans="10:10" x14ac:dyDescent="0.2">
      <c r="J1151" s="35"/>
    </row>
    <row r="1152" spans="10:10" x14ac:dyDescent="0.2">
      <c r="J1152" s="35"/>
    </row>
    <row r="1153" spans="10:10" x14ac:dyDescent="0.2">
      <c r="J1153" s="35"/>
    </row>
    <row r="1154" spans="10:10" x14ac:dyDescent="0.2">
      <c r="J1154" s="35"/>
    </row>
    <row r="1155" spans="10:10" x14ac:dyDescent="0.2">
      <c r="J1155" s="35"/>
    </row>
    <row r="1156" spans="10:10" x14ac:dyDescent="0.2">
      <c r="J1156" s="35"/>
    </row>
    <row r="1157" spans="10:10" x14ac:dyDescent="0.2">
      <c r="J1157" s="35"/>
    </row>
    <row r="1158" spans="10:10" x14ac:dyDescent="0.2">
      <c r="J1158" s="35"/>
    </row>
    <row r="1159" spans="10:10" x14ac:dyDescent="0.2">
      <c r="J1159" s="35"/>
    </row>
    <row r="1160" spans="10:10" x14ac:dyDescent="0.2">
      <c r="J1160" s="35"/>
    </row>
    <row r="1161" spans="10:10" x14ac:dyDescent="0.2">
      <c r="J1161" s="35"/>
    </row>
    <row r="1162" spans="10:10" x14ac:dyDescent="0.2">
      <c r="J1162" s="35"/>
    </row>
    <row r="1163" spans="10:10" x14ac:dyDescent="0.2">
      <c r="J1163" s="35"/>
    </row>
    <row r="1164" spans="10:10" x14ac:dyDescent="0.2">
      <c r="J1164" s="35"/>
    </row>
    <row r="1165" spans="10:10" x14ac:dyDescent="0.2">
      <c r="J1165" s="35"/>
    </row>
    <row r="1166" spans="10:10" x14ac:dyDescent="0.2">
      <c r="J1166" s="35"/>
    </row>
    <row r="1167" spans="10:10" x14ac:dyDescent="0.2">
      <c r="J1167" s="35"/>
    </row>
    <row r="1168" spans="10:10" x14ac:dyDescent="0.2">
      <c r="J1168" s="35"/>
    </row>
    <row r="1169" spans="10:10" x14ac:dyDescent="0.2">
      <c r="J1169" s="35"/>
    </row>
    <row r="1170" spans="10:10" x14ac:dyDescent="0.2">
      <c r="J1170" s="35"/>
    </row>
    <row r="1171" spans="10:10" x14ac:dyDescent="0.2">
      <c r="J1171" s="35"/>
    </row>
    <row r="1172" spans="10:10" x14ac:dyDescent="0.2">
      <c r="J1172" s="35"/>
    </row>
    <row r="1173" spans="10:10" x14ac:dyDescent="0.2">
      <c r="J1173" s="35"/>
    </row>
    <row r="1174" spans="10:10" x14ac:dyDescent="0.2">
      <c r="J1174" s="35"/>
    </row>
    <row r="1175" spans="10:10" x14ac:dyDescent="0.2">
      <c r="J1175" s="35"/>
    </row>
    <row r="1176" spans="10:10" x14ac:dyDescent="0.2">
      <c r="J1176" s="35"/>
    </row>
    <row r="1177" spans="10:10" x14ac:dyDescent="0.2">
      <c r="J1177" s="35"/>
    </row>
    <row r="1178" spans="10:10" x14ac:dyDescent="0.2">
      <c r="J1178" s="35"/>
    </row>
    <row r="1179" spans="10:10" x14ac:dyDescent="0.2">
      <c r="J1179" s="35"/>
    </row>
    <row r="1180" spans="10:10" x14ac:dyDescent="0.2">
      <c r="J1180" s="35"/>
    </row>
    <row r="1181" spans="10:10" x14ac:dyDescent="0.2">
      <c r="J1181" s="35"/>
    </row>
    <row r="1182" spans="10:10" x14ac:dyDescent="0.2">
      <c r="J1182" s="35"/>
    </row>
    <row r="1183" spans="10:10" x14ac:dyDescent="0.2">
      <c r="J1183" s="35"/>
    </row>
    <row r="1184" spans="10:10" x14ac:dyDescent="0.2">
      <c r="J1184" s="35"/>
    </row>
    <row r="1185" spans="10:10" x14ac:dyDescent="0.2">
      <c r="J1185" s="35"/>
    </row>
    <row r="1186" spans="10:10" x14ac:dyDescent="0.2">
      <c r="J1186" s="35"/>
    </row>
    <row r="1187" spans="10:10" x14ac:dyDescent="0.2">
      <c r="J1187" s="35"/>
    </row>
    <row r="1188" spans="10:10" x14ac:dyDescent="0.2">
      <c r="J1188" s="35"/>
    </row>
    <row r="1189" spans="10:10" x14ac:dyDescent="0.2">
      <c r="J1189" s="35"/>
    </row>
    <row r="1190" spans="10:10" x14ac:dyDescent="0.2">
      <c r="J1190" s="35"/>
    </row>
    <row r="1191" spans="10:10" x14ac:dyDescent="0.2">
      <c r="J1191" s="35"/>
    </row>
    <row r="1192" spans="10:10" x14ac:dyDescent="0.2">
      <c r="J1192" s="35"/>
    </row>
    <row r="1193" spans="10:10" x14ac:dyDescent="0.2">
      <c r="J1193" s="35"/>
    </row>
    <row r="1194" spans="10:10" x14ac:dyDescent="0.2">
      <c r="J1194" s="35"/>
    </row>
    <row r="1195" spans="10:10" x14ac:dyDescent="0.2">
      <c r="J1195" s="35"/>
    </row>
    <row r="1196" spans="10:10" x14ac:dyDescent="0.2">
      <c r="J1196" s="35"/>
    </row>
    <row r="1197" spans="10:10" x14ac:dyDescent="0.2">
      <c r="J1197" s="35"/>
    </row>
    <row r="1198" spans="10:10" x14ac:dyDescent="0.2">
      <c r="J1198" s="35"/>
    </row>
    <row r="1199" spans="10:10" x14ac:dyDescent="0.2">
      <c r="J1199" s="35"/>
    </row>
    <row r="1200" spans="10:10" x14ac:dyDescent="0.2">
      <c r="J1200" s="35"/>
    </row>
    <row r="1201" spans="10:10" x14ac:dyDescent="0.2">
      <c r="J1201" s="35"/>
    </row>
    <row r="1202" spans="10:10" x14ac:dyDescent="0.2">
      <c r="J1202" s="35"/>
    </row>
    <row r="1203" spans="10:10" x14ac:dyDescent="0.2">
      <c r="J1203" s="35"/>
    </row>
    <row r="1204" spans="10:10" x14ac:dyDescent="0.2">
      <c r="J1204" s="35"/>
    </row>
    <row r="1205" spans="10:10" x14ac:dyDescent="0.2">
      <c r="J1205" s="35"/>
    </row>
    <row r="1206" spans="10:10" x14ac:dyDescent="0.2">
      <c r="J1206" s="35"/>
    </row>
    <row r="1207" spans="10:10" x14ac:dyDescent="0.2">
      <c r="J1207" s="35"/>
    </row>
    <row r="1208" spans="10:10" x14ac:dyDescent="0.2">
      <c r="J1208" s="35"/>
    </row>
    <row r="1209" spans="10:10" x14ac:dyDescent="0.2">
      <c r="J1209" s="35"/>
    </row>
    <row r="1210" spans="10:10" x14ac:dyDescent="0.2">
      <c r="J1210" s="35"/>
    </row>
    <row r="1211" spans="10:10" x14ac:dyDescent="0.2">
      <c r="J1211" s="35"/>
    </row>
    <row r="1212" spans="10:10" x14ac:dyDescent="0.2">
      <c r="J1212" s="35"/>
    </row>
    <row r="1213" spans="10:10" x14ac:dyDescent="0.2">
      <c r="J1213" s="35"/>
    </row>
    <row r="1214" spans="10:10" x14ac:dyDescent="0.2">
      <c r="J1214" s="35"/>
    </row>
    <row r="1215" spans="10:10" x14ac:dyDescent="0.2">
      <c r="J1215" s="35"/>
    </row>
    <row r="1216" spans="10:10" x14ac:dyDescent="0.2">
      <c r="J1216" s="35"/>
    </row>
    <row r="1217" spans="10:10" x14ac:dyDescent="0.2">
      <c r="J1217" s="35"/>
    </row>
    <row r="1218" spans="10:10" x14ac:dyDescent="0.2">
      <c r="J1218" s="35"/>
    </row>
    <row r="1219" spans="10:10" x14ac:dyDescent="0.2">
      <c r="J1219" s="35"/>
    </row>
    <row r="1220" spans="10:10" x14ac:dyDescent="0.2">
      <c r="J1220" s="35"/>
    </row>
    <row r="1221" spans="10:10" x14ac:dyDescent="0.2">
      <c r="J1221" s="35"/>
    </row>
    <row r="1222" spans="10:10" x14ac:dyDescent="0.2">
      <c r="J1222" s="35"/>
    </row>
    <row r="1223" spans="10:10" x14ac:dyDescent="0.2">
      <c r="J1223" s="35"/>
    </row>
    <row r="1224" spans="10:10" x14ac:dyDescent="0.2">
      <c r="J1224" s="35"/>
    </row>
    <row r="1225" spans="10:10" x14ac:dyDescent="0.2">
      <c r="J1225" s="35"/>
    </row>
    <row r="1226" spans="10:10" x14ac:dyDescent="0.2">
      <c r="J1226" s="35"/>
    </row>
    <row r="1227" spans="10:10" x14ac:dyDescent="0.2">
      <c r="J1227" s="35"/>
    </row>
    <row r="1228" spans="10:10" x14ac:dyDescent="0.2">
      <c r="J1228" s="35"/>
    </row>
    <row r="1229" spans="10:10" x14ac:dyDescent="0.2">
      <c r="J1229" s="35"/>
    </row>
    <row r="1230" spans="10:10" x14ac:dyDescent="0.2">
      <c r="J1230" s="35"/>
    </row>
    <row r="1231" spans="10:10" x14ac:dyDescent="0.2">
      <c r="J1231" s="35"/>
    </row>
    <row r="1232" spans="10:10" x14ac:dyDescent="0.2">
      <c r="J1232" s="35"/>
    </row>
    <row r="1233" spans="10:10" x14ac:dyDescent="0.2">
      <c r="J1233" s="35"/>
    </row>
    <row r="1234" spans="10:10" x14ac:dyDescent="0.2">
      <c r="J1234" s="35"/>
    </row>
    <row r="1235" spans="10:10" x14ac:dyDescent="0.2">
      <c r="J1235" s="35"/>
    </row>
    <row r="1236" spans="10:10" x14ac:dyDescent="0.2">
      <c r="J1236" s="35"/>
    </row>
    <row r="1237" spans="10:10" x14ac:dyDescent="0.2">
      <c r="J1237" s="35"/>
    </row>
    <row r="1238" spans="10:10" x14ac:dyDescent="0.2">
      <c r="J1238" s="35"/>
    </row>
    <row r="1239" spans="10:10" x14ac:dyDescent="0.2">
      <c r="J1239" s="35"/>
    </row>
    <row r="1240" spans="10:10" x14ac:dyDescent="0.2">
      <c r="J1240" s="35"/>
    </row>
    <row r="1241" spans="10:10" x14ac:dyDescent="0.2">
      <c r="J1241" s="35"/>
    </row>
    <row r="1242" spans="10:10" x14ac:dyDescent="0.2">
      <c r="J1242" s="35"/>
    </row>
    <row r="1243" spans="10:10" x14ac:dyDescent="0.2">
      <c r="J1243" s="35"/>
    </row>
    <row r="1244" spans="10:10" x14ac:dyDescent="0.2">
      <c r="J1244" s="35"/>
    </row>
    <row r="1245" spans="10:10" x14ac:dyDescent="0.2">
      <c r="J1245" s="35"/>
    </row>
    <row r="1246" spans="10:10" x14ac:dyDescent="0.2">
      <c r="J1246" s="35"/>
    </row>
    <row r="1247" spans="10:10" x14ac:dyDescent="0.2">
      <c r="J1247" s="35"/>
    </row>
    <row r="1248" spans="10:10" x14ac:dyDescent="0.2">
      <c r="J1248" s="35"/>
    </row>
    <row r="1249" spans="10:10" x14ac:dyDescent="0.2">
      <c r="J1249" s="35"/>
    </row>
    <row r="1250" spans="10:10" x14ac:dyDescent="0.2">
      <c r="J1250" s="35"/>
    </row>
    <row r="1251" spans="10:10" x14ac:dyDescent="0.2">
      <c r="J1251" s="35"/>
    </row>
    <row r="1252" spans="10:10" x14ac:dyDescent="0.2">
      <c r="J1252" s="35"/>
    </row>
    <row r="1253" spans="10:10" x14ac:dyDescent="0.2">
      <c r="J1253" s="35"/>
    </row>
    <row r="1254" spans="10:10" x14ac:dyDescent="0.2">
      <c r="J1254" s="35"/>
    </row>
    <row r="1255" spans="10:10" x14ac:dyDescent="0.2">
      <c r="J1255" s="35"/>
    </row>
    <row r="1256" spans="10:10" x14ac:dyDescent="0.2">
      <c r="J1256" s="35"/>
    </row>
    <row r="1257" spans="10:10" x14ac:dyDescent="0.2">
      <c r="J1257" s="35"/>
    </row>
    <row r="1258" spans="10:10" x14ac:dyDescent="0.2">
      <c r="J1258" s="35"/>
    </row>
    <row r="1259" spans="10:10" x14ac:dyDescent="0.2">
      <c r="J1259" s="35"/>
    </row>
    <row r="1260" spans="10:10" x14ac:dyDescent="0.2">
      <c r="J1260" s="35"/>
    </row>
    <row r="1261" spans="10:10" x14ac:dyDescent="0.2">
      <c r="J1261" s="35"/>
    </row>
    <row r="1262" spans="10:10" x14ac:dyDescent="0.2">
      <c r="J1262" s="35"/>
    </row>
    <row r="1263" spans="10:10" x14ac:dyDescent="0.2">
      <c r="J1263" s="35"/>
    </row>
    <row r="1264" spans="10:10" x14ac:dyDescent="0.2">
      <c r="J1264" s="35"/>
    </row>
    <row r="1265" spans="10:10" x14ac:dyDescent="0.2">
      <c r="J1265" s="35"/>
    </row>
    <row r="1266" spans="10:10" x14ac:dyDescent="0.2">
      <c r="J1266" s="35"/>
    </row>
    <row r="1267" spans="10:10" x14ac:dyDescent="0.2">
      <c r="J1267" s="35"/>
    </row>
    <row r="1268" spans="10:10" x14ac:dyDescent="0.2">
      <c r="J1268" s="35"/>
    </row>
    <row r="1269" spans="10:10" x14ac:dyDescent="0.2">
      <c r="J1269" s="35"/>
    </row>
    <row r="1270" spans="10:10" x14ac:dyDescent="0.2">
      <c r="J1270" s="35"/>
    </row>
    <row r="1271" spans="10:10" x14ac:dyDescent="0.2">
      <c r="J1271" s="35"/>
    </row>
    <row r="1272" spans="10:10" x14ac:dyDescent="0.2">
      <c r="J1272" s="35"/>
    </row>
    <row r="1273" spans="10:10" x14ac:dyDescent="0.2">
      <c r="J1273" s="35"/>
    </row>
    <row r="1274" spans="10:10" x14ac:dyDescent="0.2">
      <c r="J1274" s="35"/>
    </row>
    <row r="1275" spans="10:10" x14ac:dyDescent="0.2">
      <c r="J1275" s="35"/>
    </row>
    <row r="1276" spans="10:10" x14ac:dyDescent="0.2">
      <c r="J1276" s="35"/>
    </row>
    <row r="1277" spans="10:10" x14ac:dyDescent="0.2">
      <c r="J1277" s="35"/>
    </row>
    <row r="1278" spans="10:10" x14ac:dyDescent="0.2">
      <c r="J1278" s="35"/>
    </row>
    <row r="1279" spans="10:10" x14ac:dyDescent="0.2">
      <c r="J1279" s="35"/>
    </row>
    <row r="1280" spans="10:10" x14ac:dyDescent="0.2">
      <c r="J1280" s="35"/>
    </row>
    <row r="1281" spans="10:10" x14ac:dyDescent="0.2">
      <c r="J1281" s="35"/>
    </row>
    <row r="1282" spans="10:10" x14ac:dyDescent="0.2">
      <c r="J1282" s="35"/>
    </row>
    <row r="1283" spans="10:10" x14ac:dyDescent="0.2">
      <c r="J1283" s="35"/>
    </row>
    <row r="1284" spans="10:10" x14ac:dyDescent="0.2">
      <c r="J1284" s="35"/>
    </row>
    <row r="1285" spans="10:10" x14ac:dyDescent="0.2">
      <c r="J1285" s="35"/>
    </row>
    <row r="1286" spans="10:10" x14ac:dyDescent="0.2">
      <c r="J1286" s="35"/>
    </row>
    <row r="1287" spans="10:10" x14ac:dyDescent="0.2">
      <c r="J1287" s="35"/>
    </row>
    <row r="1288" spans="10:10" x14ac:dyDescent="0.2">
      <c r="J1288" s="35"/>
    </row>
    <row r="1289" spans="10:10" x14ac:dyDescent="0.2">
      <c r="J1289" s="35"/>
    </row>
    <row r="1290" spans="10:10" x14ac:dyDescent="0.2">
      <c r="J1290" s="35"/>
    </row>
    <row r="1291" spans="10:10" x14ac:dyDescent="0.2">
      <c r="J1291" s="35"/>
    </row>
    <row r="1292" spans="10:10" x14ac:dyDescent="0.2">
      <c r="J1292" s="35"/>
    </row>
    <row r="1293" spans="10:10" x14ac:dyDescent="0.2">
      <c r="J1293" s="35"/>
    </row>
    <row r="1294" spans="10:10" x14ac:dyDescent="0.2">
      <c r="J1294" s="35"/>
    </row>
    <row r="1295" spans="10:10" x14ac:dyDescent="0.2">
      <c r="J1295" s="35"/>
    </row>
    <row r="1296" spans="10:10" x14ac:dyDescent="0.2">
      <c r="J1296" s="35"/>
    </row>
    <row r="1297" spans="10:10" x14ac:dyDescent="0.2">
      <c r="J1297" s="35"/>
    </row>
    <row r="1298" spans="10:10" x14ac:dyDescent="0.2">
      <c r="J1298" s="35"/>
    </row>
    <row r="1299" spans="10:10" x14ac:dyDescent="0.2">
      <c r="J1299" s="35"/>
    </row>
    <row r="1300" spans="10:10" x14ac:dyDescent="0.2">
      <c r="J1300" s="35"/>
    </row>
    <row r="1301" spans="10:10" x14ac:dyDescent="0.2">
      <c r="J1301" s="35"/>
    </row>
    <row r="1302" spans="10:10" x14ac:dyDescent="0.2">
      <c r="J1302" s="35"/>
    </row>
    <row r="1303" spans="10:10" x14ac:dyDescent="0.2">
      <c r="J1303" s="35"/>
    </row>
    <row r="1304" spans="10:10" x14ac:dyDescent="0.2">
      <c r="J1304" s="35"/>
    </row>
    <row r="1305" spans="10:10" x14ac:dyDescent="0.2">
      <c r="J1305" s="35"/>
    </row>
    <row r="1306" spans="10:10" x14ac:dyDescent="0.2">
      <c r="J1306" s="35"/>
    </row>
    <row r="1307" spans="10:10" x14ac:dyDescent="0.2">
      <c r="J1307" s="35"/>
    </row>
    <row r="1308" spans="10:10" x14ac:dyDescent="0.2">
      <c r="J1308" s="35"/>
    </row>
    <row r="1309" spans="10:10" x14ac:dyDescent="0.2">
      <c r="J1309" s="35"/>
    </row>
    <row r="1310" spans="10:10" x14ac:dyDescent="0.2">
      <c r="J1310" s="35"/>
    </row>
    <row r="1311" spans="10:10" x14ac:dyDescent="0.2">
      <c r="J1311" s="35"/>
    </row>
    <row r="1312" spans="10:10" x14ac:dyDescent="0.2">
      <c r="J1312" s="35"/>
    </row>
    <row r="1313" spans="10:10" x14ac:dyDescent="0.2">
      <c r="J1313" s="35"/>
    </row>
    <row r="1314" spans="10:10" x14ac:dyDescent="0.2">
      <c r="J1314" s="35"/>
    </row>
    <row r="1315" spans="10:10" x14ac:dyDescent="0.2">
      <c r="J1315" s="35"/>
    </row>
    <row r="1316" spans="10:10" x14ac:dyDescent="0.2">
      <c r="J1316" s="35"/>
    </row>
    <row r="1317" spans="10:10" x14ac:dyDescent="0.2">
      <c r="J1317" s="35"/>
    </row>
    <row r="1318" spans="10:10" x14ac:dyDescent="0.2">
      <c r="J1318" s="35"/>
    </row>
    <row r="1319" spans="10:10" x14ac:dyDescent="0.2">
      <c r="J1319" s="35"/>
    </row>
    <row r="1320" spans="10:10" x14ac:dyDescent="0.2">
      <c r="J1320" s="35"/>
    </row>
    <row r="1321" spans="10:10" x14ac:dyDescent="0.2">
      <c r="J1321" s="35"/>
    </row>
    <row r="1322" spans="10:10" x14ac:dyDescent="0.2">
      <c r="J1322" s="35"/>
    </row>
    <row r="1323" spans="10:10" x14ac:dyDescent="0.2">
      <c r="J1323" s="35"/>
    </row>
    <row r="1324" spans="10:10" x14ac:dyDescent="0.2">
      <c r="J1324" s="35"/>
    </row>
    <row r="1325" spans="10:10" x14ac:dyDescent="0.2">
      <c r="J1325" s="35"/>
    </row>
    <row r="1326" spans="10:10" x14ac:dyDescent="0.2">
      <c r="J1326" s="35"/>
    </row>
    <row r="1327" spans="10:10" x14ac:dyDescent="0.2">
      <c r="J1327" s="35"/>
    </row>
    <row r="1328" spans="10:10" x14ac:dyDescent="0.2">
      <c r="J1328" s="35"/>
    </row>
    <row r="1329" spans="10:10" x14ac:dyDescent="0.2">
      <c r="J1329" s="35"/>
    </row>
    <row r="1330" spans="10:10" x14ac:dyDescent="0.2">
      <c r="J1330" s="35"/>
    </row>
    <row r="1331" spans="10:10" x14ac:dyDescent="0.2">
      <c r="J1331" s="35"/>
    </row>
    <row r="1332" spans="10:10" x14ac:dyDescent="0.2">
      <c r="J1332" s="35"/>
    </row>
    <row r="1333" spans="10:10" x14ac:dyDescent="0.2">
      <c r="J1333" s="35"/>
    </row>
    <row r="1334" spans="10:10" x14ac:dyDescent="0.2">
      <c r="J1334" s="35"/>
    </row>
    <row r="1335" spans="10:10" x14ac:dyDescent="0.2">
      <c r="J1335" s="35"/>
    </row>
    <row r="1336" spans="10:10" x14ac:dyDescent="0.2">
      <c r="J1336" s="35"/>
    </row>
    <row r="1337" spans="10:10" x14ac:dyDescent="0.2">
      <c r="J1337" s="35"/>
    </row>
    <row r="1338" spans="10:10" x14ac:dyDescent="0.2">
      <c r="J1338" s="35"/>
    </row>
    <row r="1339" spans="10:10" x14ac:dyDescent="0.2">
      <c r="J1339" s="35"/>
    </row>
    <row r="1340" spans="10:10" x14ac:dyDescent="0.2">
      <c r="J1340" s="35"/>
    </row>
    <row r="1341" spans="10:10" x14ac:dyDescent="0.2">
      <c r="J1341" s="35"/>
    </row>
    <row r="1342" spans="10:10" x14ac:dyDescent="0.2">
      <c r="J1342" s="35"/>
    </row>
    <row r="1343" spans="10:10" x14ac:dyDescent="0.2">
      <c r="J1343" s="35"/>
    </row>
    <row r="1344" spans="10:10" x14ac:dyDescent="0.2">
      <c r="J1344" s="35"/>
    </row>
    <row r="1345" spans="10:10" x14ac:dyDescent="0.2">
      <c r="J1345" s="35"/>
    </row>
    <row r="1346" spans="10:10" x14ac:dyDescent="0.2">
      <c r="J1346" s="35"/>
    </row>
    <row r="1347" spans="10:10" x14ac:dyDescent="0.2">
      <c r="J1347" s="35"/>
    </row>
    <row r="1348" spans="10:10" x14ac:dyDescent="0.2">
      <c r="J1348" s="35"/>
    </row>
    <row r="1349" spans="10:10" x14ac:dyDescent="0.2">
      <c r="J1349" s="35"/>
    </row>
    <row r="1350" spans="10:10" x14ac:dyDescent="0.2">
      <c r="J1350" s="35"/>
    </row>
    <row r="1351" spans="10:10" x14ac:dyDescent="0.2">
      <c r="J1351" s="35"/>
    </row>
    <row r="1352" spans="10:10" x14ac:dyDescent="0.2">
      <c r="J1352" s="35"/>
    </row>
    <row r="1353" spans="10:10" x14ac:dyDescent="0.2">
      <c r="J1353" s="35"/>
    </row>
    <row r="1354" spans="10:10" x14ac:dyDescent="0.2">
      <c r="J1354" s="35"/>
    </row>
    <row r="1355" spans="10:10" x14ac:dyDescent="0.2">
      <c r="J1355" s="35"/>
    </row>
    <row r="1356" spans="10:10" x14ac:dyDescent="0.2">
      <c r="J1356" s="35"/>
    </row>
    <row r="1357" spans="10:10" x14ac:dyDescent="0.2">
      <c r="J1357" s="35"/>
    </row>
    <row r="1358" spans="10:10" x14ac:dyDescent="0.2">
      <c r="J1358" s="35"/>
    </row>
    <row r="1359" spans="10:10" x14ac:dyDescent="0.2">
      <c r="J1359" s="35"/>
    </row>
    <row r="1360" spans="10:10" x14ac:dyDescent="0.2">
      <c r="J1360" s="35"/>
    </row>
    <row r="1361" spans="10:10" x14ac:dyDescent="0.2">
      <c r="J1361" s="35"/>
    </row>
    <row r="1362" spans="10:10" x14ac:dyDescent="0.2">
      <c r="J1362" s="35"/>
    </row>
    <row r="1363" spans="10:10" x14ac:dyDescent="0.2">
      <c r="J1363" s="35"/>
    </row>
    <row r="1364" spans="10:10" x14ac:dyDescent="0.2">
      <c r="J1364" s="35"/>
    </row>
    <row r="1365" spans="10:10" x14ac:dyDescent="0.2">
      <c r="J1365" s="35"/>
    </row>
    <row r="1366" spans="10:10" x14ac:dyDescent="0.2">
      <c r="J1366" s="35"/>
    </row>
    <row r="1367" spans="10:10" x14ac:dyDescent="0.2">
      <c r="J1367" s="35"/>
    </row>
    <row r="1368" spans="10:10" x14ac:dyDescent="0.2">
      <c r="J1368" s="35"/>
    </row>
    <row r="1369" spans="10:10" x14ac:dyDescent="0.2">
      <c r="J1369" s="35"/>
    </row>
    <row r="1370" spans="10:10" x14ac:dyDescent="0.2">
      <c r="J1370" s="35"/>
    </row>
    <row r="1371" spans="10:10" x14ac:dyDescent="0.2">
      <c r="J1371" s="35"/>
    </row>
    <row r="1372" spans="10:10" x14ac:dyDescent="0.2">
      <c r="J1372" s="35"/>
    </row>
    <row r="1373" spans="10:10" x14ac:dyDescent="0.2">
      <c r="J1373" s="35"/>
    </row>
    <row r="1374" spans="10:10" x14ac:dyDescent="0.2">
      <c r="J1374" s="35"/>
    </row>
    <row r="1375" spans="10:10" x14ac:dyDescent="0.2">
      <c r="J1375" s="35"/>
    </row>
    <row r="1376" spans="10:10" x14ac:dyDescent="0.2">
      <c r="J1376" s="35"/>
    </row>
    <row r="1377" spans="10:10" x14ac:dyDescent="0.2">
      <c r="J1377" s="35"/>
    </row>
    <row r="1378" spans="10:10" x14ac:dyDescent="0.2">
      <c r="J1378" s="35"/>
    </row>
    <row r="1379" spans="10:10" x14ac:dyDescent="0.2">
      <c r="J1379" s="35"/>
    </row>
    <row r="1380" spans="10:10" x14ac:dyDescent="0.2">
      <c r="J1380" s="35"/>
    </row>
    <row r="1381" spans="10:10" x14ac:dyDescent="0.2">
      <c r="J1381" s="35"/>
    </row>
    <row r="1382" spans="10:10" x14ac:dyDescent="0.2">
      <c r="J1382" s="35"/>
    </row>
    <row r="1383" spans="10:10" x14ac:dyDescent="0.2">
      <c r="J1383" s="35"/>
    </row>
    <row r="1384" spans="10:10" x14ac:dyDescent="0.2">
      <c r="J1384" s="35"/>
    </row>
    <row r="1385" spans="10:10" x14ac:dyDescent="0.2">
      <c r="J1385" s="35"/>
    </row>
    <row r="1386" spans="10:10" x14ac:dyDescent="0.2">
      <c r="J1386" s="35"/>
    </row>
    <row r="1387" spans="10:10" x14ac:dyDescent="0.2">
      <c r="J1387" s="35"/>
    </row>
    <row r="1388" spans="10:10" x14ac:dyDescent="0.2">
      <c r="J1388" s="35"/>
    </row>
    <row r="1389" spans="10:10" x14ac:dyDescent="0.2">
      <c r="J1389" s="35"/>
    </row>
    <row r="1390" spans="10:10" x14ac:dyDescent="0.2">
      <c r="J1390" s="35"/>
    </row>
    <row r="1391" spans="10:10" x14ac:dyDescent="0.2">
      <c r="J1391" s="35"/>
    </row>
    <row r="1392" spans="10:10" x14ac:dyDescent="0.2">
      <c r="J1392" s="35"/>
    </row>
    <row r="1393" spans="10:10" x14ac:dyDescent="0.2">
      <c r="J1393" s="35"/>
    </row>
    <row r="1394" spans="10:10" x14ac:dyDescent="0.2">
      <c r="J1394" s="35"/>
    </row>
    <row r="1395" spans="10:10" x14ac:dyDescent="0.2">
      <c r="J1395" s="35"/>
    </row>
    <row r="1396" spans="10:10" x14ac:dyDescent="0.2">
      <c r="J1396" s="35"/>
    </row>
    <row r="1397" spans="10:10" x14ac:dyDescent="0.2">
      <c r="J1397" s="35"/>
    </row>
    <row r="1398" spans="10:10" x14ac:dyDescent="0.2">
      <c r="J1398" s="35"/>
    </row>
    <row r="1399" spans="10:10" x14ac:dyDescent="0.2">
      <c r="J1399" s="35"/>
    </row>
    <row r="1400" spans="10:10" x14ac:dyDescent="0.2">
      <c r="J1400" s="35"/>
    </row>
    <row r="1401" spans="10:10" x14ac:dyDescent="0.2">
      <c r="J1401" s="35"/>
    </row>
    <row r="1402" spans="10:10" x14ac:dyDescent="0.2">
      <c r="J1402" s="35"/>
    </row>
    <row r="1403" spans="10:10" x14ac:dyDescent="0.2">
      <c r="J1403" s="35"/>
    </row>
    <row r="1404" spans="10:10" x14ac:dyDescent="0.2">
      <c r="J1404" s="35"/>
    </row>
    <row r="1405" spans="10:10" x14ac:dyDescent="0.2">
      <c r="J1405" s="35"/>
    </row>
    <row r="1406" spans="10:10" x14ac:dyDescent="0.2">
      <c r="J1406" s="35"/>
    </row>
    <row r="1407" spans="10:10" x14ac:dyDescent="0.2">
      <c r="J1407" s="35"/>
    </row>
    <row r="1408" spans="10:10" x14ac:dyDescent="0.2">
      <c r="J1408" s="35"/>
    </row>
    <row r="1409" spans="10:10" x14ac:dyDescent="0.2">
      <c r="J1409" s="35"/>
    </row>
    <row r="1410" spans="10:10" x14ac:dyDescent="0.2">
      <c r="J1410" s="35"/>
    </row>
    <row r="1411" spans="10:10" x14ac:dyDescent="0.2">
      <c r="J1411" s="35"/>
    </row>
    <row r="1412" spans="10:10" x14ac:dyDescent="0.2">
      <c r="J1412" s="35"/>
    </row>
    <row r="1413" spans="10:10" x14ac:dyDescent="0.2">
      <c r="J1413" s="35"/>
    </row>
    <row r="1414" spans="10:10" x14ac:dyDescent="0.2">
      <c r="J1414" s="35"/>
    </row>
    <row r="1415" spans="10:10" x14ac:dyDescent="0.2">
      <c r="J1415" s="35"/>
    </row>
    <row r="1416" spans="10:10" x14ac:dyDescent="0.2">
      <c r="J1416" s="35"/>
    </row>
    <row r="1417" spans="10:10" x14ac:dyDescent="0.2">
      <c r="J1417" s="35"/>
    </row>
    <row r="1418" spans="10:10" x14ac:dyDescent="0.2">
      <c r="J1418" s="35"/>
    </row>
    <row r="1419" spans="10:10" x14ac:dyDescent="0.2">
      <c r="J1419" s="35"/>
    </row>
    <row r="1420" spans="10:10" x14ac:dyDescent="0.2">
      <c r="J1420" s="35"/>
    </row>
    <row r="1421" spans="10:10" x14ac:dyDescent="0.2">
      <c r="J1421" s="35"/>
    </row>
    <row r="1422" spans="10:10" x14ac:dyDescent="0.2">
      <c r="J1422" s="35"/>
    </row>
    <row r="1423" spans="10:10" x14ac:dyDescent="0.2">
      <c r="J1423" s="35"/>
    </row>
    <row r="1424" spans="10:10" x14ac:dyDescent="0.2">
      <c r="J1424" s="35"/>
    </row>
    <row r="1425" spans="10:10" x14ac:dyDescent="0.2">
      <c r="J1425" s="35"/>
    </row>
    <row r="1426" spans="10:10" x14ac:dyDescent="0.2">
      <c r="J1426" s="35"/>
    </row>
    <row r="1427" spans="10:10" x14ac:dyDescent="0.2">
      <c r="J1427" s="35"/>
    </row>
    <row r="1428" spans="10:10" x14ac:dyDescent="0.2">
      <c r="J1428" s="35"/>
    </row>
    <row r="1429" spans="10:10" x14ac:dyDescent="0.2">
      <c r="J1429" s="35"/>
    </row>
    <row r="1430" spans="10:10" x14ac:dyDescent="0.2">
      <c r="J1430" s="35"/>
    </row>
    <row r="1431" spans="10:10" x14ac:dyDescent="0.2">
      <c r="J1431" s="35"/>
    </row>
    <row r="1432" spans="10:10" x14ac:dyDescent="0.2">
      <c r="J1432" s="35"/>
    </row>
    <row r="1433" spans="10:10" x14ac:dyDescent="0.2">
      <c r="J1433" s="35"/>
    </row>
    <row r="1434" spans="10:10" x14ac:dyDescent="0.2">
      <c r="J1434" s="35"/>
    </row>
    <row r="1435" spans="10:10" x14ac:dyDescent="0.2">
      <c r="J1435" s="35"/>
    </row>
    <row r="1436" spans="10:10" x14ac:dyDescent="0.2">
      <c r="J1436" s="35"/>
    </row>
    <row r="1437" spans="10:10" x14ac:dyDescent="0.2">
      <c r="J1437" s="35"/>
    </row>
    <row r="1438" spans="10:10" x14ac:dyDescent="0.2">
      <c r="J1438" s="35"/>
    </row>
    <row r="1439" spans="10:10" x14ac:dyDescent="0.2">
      <c r="J1439" s="35"/>
    </row>
    <row r="1440" spans="10:10" x14ac:dyDescent="0.2">
      <c r="J1440" s="35"/>
    </row>
    <row r="1441" spans="10:10" x14ac:dyDescent="0.2">
      <c r="J1441" s="35"/>
    </row>
    <row r="1442" spans="10:10" x14ac:dyDescent="0.2">
      <c r="J1442" s="35"/>
    </row>
    <row r="1443" spans="10:10" x14ac:dyDescent="0.2">
      <c r="J1443" s="35"/>
    </row>
    <row r="1444" spans="10:10" x14ac:dyDescent="0.2">
      <c r="J1444" s="35"/>
    </row>
    <row r="1445" spans="10:10" x14ac:dyDescent="0.2">
      <c r="J1445" s="35"/>
    </row>
    <row r="1446" spans="10:10" x14ac:dyDescent="0.2">
      <c r="J1446" s="35"/>
    </row>
    <row r="1447" spans="10:10" x14ac:dyDescent="0.2">
      <c r="J1447" s="35"/>
    </row>
    <row r="1448" spans="10:10" x14ac:dyDescent="0.2">
      <c r="J1448" s="35"/>
    </row>
    <row r="1449" spans="10:10" x14ac:dyDescent="0.2">
      <c r="J1449" s="35"/>
    </row>
    <row r="1450" spans="10:10" x14ac:dyDescent="0.2">
      <c r="J1450" s="35"/>
    </row>
    <row r="1451" spans="10:10" x14ac:dyDescent="0.2">
      <c r="J1451" s="35"/>
    </row>
    <row r="1452" spans="10:10" x14ac:dyDescent="0.2">
      <c r="J1452" s="35"/>
    </row>
    <row r="1453" spans="10:10" x14ac:dyDescent="0.2">
      <c r="J1453" s="35"/>
    </row>
    <row r="1454" spans="10:10" x14ac:dyDescent="0.2">
      <c r="J1454" s="35"/>
    </row>
    <row r="1455" spans="10:10" x14ac:dyDescent="0.2">
      <c r="J1455" s="35"/>
    </row>
    <row r="1456" spans="10:10" x14ac:dyDescent="0.2">
      <c r="J1456" s="35"/>
    </row>
    <row r="1457" spans="10:10" x14ac:dyDescent="0.2">
      <c r="J1457" s="35"/>
    </row>
    <row r="1458" spans="10:10" x14ac:dyDescent="0.2">
      <c r="J1458" s="35"/>
    </row>
    <row r="1459" spans="10:10" x14ac:dyDescent="0.2">
      <c r="J1459" s="35"/>
    </row>
    <row r="1460" spans="10:10" x14ac:dyDescent="0.2">
      <c r="J1460" s="35"/>
    </row>
    <row r="1461" spans="10:10" x14ac:dyDescent="0.2">
      <c r="J1461" s="35"/>
    </row>
    <row r="1462" spans="10:10" x14ac:dyDescent="0.2">
      <c r="J1462" s="35"/>
    </row>
    <row r="1463" spans="10:10" x14ac:dyDescent="0.2">
      <c r="J1463" s="35"/>
    </row>
    <row r="1464" spans="10:10" x14ac:dyDescent="0.2">
      <c r="J1464" s="35"/>
    </row>
    <row r="1465" spans="10:10" x14ac:dyDescent="0.2">
      <c r="J1465" s="35"/>
    </row>
    <row r="1466" spans="10:10" x14ac:dyDescent="0.2">
      <c r="J1466" s="35"/>
    </row>
    <row r="1467" spans="10:10" x14ac:dyDescent="0.2">
      <c r="J1467" s="35"/>
    </row>
    <row r="1468" spans="10:10" x14ac:dyDescent="0.2">
      <c r="J1468" s="35"/>
    </row>
    <row r="1469" spans="10:10" x14ac:dyDescent="0.2">
      <c r="J1469" s="35"/>
    </row>
    <row r="1470" spans="10:10" x14ac:dyDescent="0.2">
      <c r="J1470" s="35"/>
    </row>
    <row r="1471" spans="10:10" x14ac:dyDescent="0.2">
      <c r="J1471" s="35"/>
    </row>
    <row r="1472" spans="10:10" x14ac:dyDescent="0.2">
      <c r="J1472" s="35"/>
    </row>
    <row r="1473" spans="10:10" x14ac:dyDescent="0.2">
      <c r="J1473" s="35"/>
    </row>
    <row r="1474" spans="10:10" x14ac:dyDescent="0.2">
      <c r="J1474" s="35"/>
    </row>
    <row r="1475" spans="10:10" x14ac:dyDescent="0.2">
      <c r="J1475" s="35"/>
    </row>
    <row r="1476" spans="10:10" x14ac:dyDescent="0.2">
      <c r="J1476" s="35"/>
    </row>
    <row r="1477" spans="10:10" x14ac:dyDescent="0.2">
      <c r="J1477" s="35"/>
    </row>
    <row r="1478" spans="10:10" x14ac:dyDescent="0.2">
      <c r="J1478" s="35"/>
    </row>
    <row r="1479" spans="10:10" x14ac:dyDescent="0.2">
      <c r="J1479" s="35"/>
    </row>
    <row r="1480" spans="10:10" x14ac:dyDescent="0.2">
      <c r="J1480" s="35"/>
    </row>
    <row r="1481" spans="10:10" x14ac:dyDescent="0.2">
      <c r="J1481" s="35"/>
    </row>
    <row r="1482" spans="10:10" x14ac:dyDescent="0.2">
      <c r="J1482" s="35"/>
    </row>
    <row r="1483" spans="10:10" x14ac:dyDescent="0.2">
      <c r="J1483" s="35"/>
    </row>
    <row r="1484" spans="10:10" x14ac:dyDescent="0.2">
      <c r="J1484" s="35"/>
    </row>
    <row r="1485" spans="10:10" x14ac:dyDescent="0.2">
      <c r="J1485" s="35"/>
    </row>
    <row r="1486" spans="10:10" x14ac:dyDescent="0.2">
      <c r="J1486" s="35"/>
    </row>
    <row r="1487" spans="10:10" x14ac:dyDescent="0.2">
      <c r="J1487" s="35"/>
    </row>
    <row r="1488" spans="10:10" x14ac:dyDescent="0.2">
      <c r="J1488" s="35"/>
    </row>
    <row r="1489" spans="10:10" x14ac:dyDescent="0.2">
      <c r="J1489" s="35"/>
    </row>
    <row r="1490" spans="10:10" x14ac:dyDescent="0.2">
      <c r="J1490" s="35"/>
    </row>
    <row r="1491" spans="10:10" x14ac:dyDescent="0.2">
      <c r="J1491" s="35"/>
    </row>
    <row r="1492" spans="10:10" x14ac:dyDescent="0.2">
      <c r="J1492" s="35"/>
    </row>
    <row r="1493" spans="10:10" x14ac:dyDescent="0.2">
      <c r="J1493" s="35"/>
    </row>
    <row r="1494" spans="10:10" x14ac:dyDescent="0.2">
      <c r="J1494" s="35"/>
    </row>
    <row r="1495" spans="10:10" x14ac:dyDescent="0.2">
      <c r="J1495" s="35"/>
    </row>
    <row r="1496" spans="10:10" x14ac:dyDescent="0.2">
      <c r="J1496" s="35"/>
    </row>
    <row r="1497" spans="10:10" x14ac:dyDescent="0.2">
      <c r="J1497" s="35"/>
    </row>
    <row r="1498" spans="10:10" x14ac:dyDescent="0.2">
      <c r="J1498" s="35"/>
    </row>
    <row r="1499" spans="10:10" x14ac:dyDescent="0.2">
      <c r="J1499" s="35"/>
    </row>
    <row r="1500" spans="10:10" x14ac:dyDescent="0.2">
      <c r="J1500" s="35"/>
    </row>
    <row r="1501" spans="10:10" x14ac:dyDescent="0.2">
      <c r="J1501" s="35"/>
    </row>
    <row r="1502" spans="10:10" x14ac:dyDescent="0.2">
      <c r="J1502" s="35"/>
    </row>
    <row r="1503" spans="10:10" x14ac:dyDescent="0.2">
      <c r="J1503" s="35"/>
    </row>
    <row r="1504" spans="10:10" x14ac:dyDescent="0.2">
      <c r="J1504" s="35"/>
    </row>
    <row r="1505" spans="10:10" x14ac:dyDescent="0.2">
      <c r="J1505" s="35"/>
    </row>
    <row r="1506" spans="10:10" x14ac:dyDescent="0.2">
      <c r="J1506" s="35"/>
    </row>
    <row r="1507" spans="10:10" x14ac:dyDescent="0.2">
      <c r="J1507" s="35"/>
    </row>
    <row r="1508" spans="10:10" x14ac:dyDescent="0.2">
      <c r="J1508" s="35"/>
    </row>
    <row r="1509" spans="10:10" x14ac:dyDescent="0.2">
      <c r="J1509" s="35"/>
    </row>
    <row r="1510" spans="10:10" x14ac:dyDescent="0.2">
      <c r="J1510" s="35"/>
    </row>
    <row r="1511" spans="10:10" x14ac:dyDescent="0.2">
      <c r="J1511" s="35"/>
    </row>
    <row r="1512" spans="10:10" x14ac:dyDescent="0.2">
      <c r="J1512" s="35"/>
    </row>
    <row r="1513" spans="10:10" x14ac:dyDescent="0.2">
      <c r="J1513" s="35"/>
    </row>
    <row r="1514" spans="10:10" x14ac:dyDescent="0.2">
      <c r="J1514" s="35"/>
    </row>
    <row r="1515" spans="10:10" x14ac:dyDescent="0.2">
      <c r="J1515" s="35"/>
    </row>
    <row r="1516" spans="10:10" x14ac:dyDescent="0.2">
      <c r="J1516" s="35"/>
    </row>
    <row r="1517" spans="10:10" x14ac:dyDescent="0.2">
      <c r="J1517" s="35"/>
    </row>
    <row r="1518" spans="10:10" x14ac:dyDescent="0.2">
      <c r="J1518" s="35"/>
    </row>
    <row r="1519" spans="10:10" x14ac:dyDescent="0.2">
      <c r="J1519" s="35"/>
    </row>
    <row r="1520" spans="10:10" x14ac:dyDescent="0.2">
      <c r="J1520" s="35"/>
    </row>
    <row r="1521" spans="10:10" x14ac:dyDescent="0.2">
      <c r="J1521" s="35"/>
    </row>
    <row r="1522" spans="10:10" x14ac:dyDescent="0.2">
      <c r="J1522" s="35"/>
    </row>
    <row r="1523" spans="10:10" x14ac:dyDescent="0.2">
      <c r="J1523" s="35"/>
    </row>
    <row r="1524" spans="10:10" x14ac:dyDescent="0.2">
      <c r="J1524" s="35"/>
    </row>
    <row r="1525" spans="10:10" x14ac:dyDescent="0.2">
      <c r="J1525" s="35"/>
    </row>
    <row r="1526" spans="10:10" x14ac:dyDescent="0.2">
      <c r="J1526" s="35"/>
    </row>
    <row r="1527" spans="10:10" x14ac:dyDescent="0.2">
      <c r="J1527" s="35"/>
    </row>
    <row r="1528" spans="10:10" x14ac:dyDescent="0.2">
      <c r="J1528" s="35"/>
    </row>
    <row r="1529" spans="10:10" x14ac:dyDescent="0.2">
      <c r="J1529" s="35"/>
    </row>
    <row r="1530" spans="10:10" x14ac:dyDescent="0.2">
      <c r="J1530" s="35"/>
    </row>
    <row r="1531" spans="10:10" x14ac:dyDescent="0.2">
      <c r="J1531" s="35"/>
    </row>
    <row r="1532" spans="10:10" x14ac:dyDescent="0.2">
      <c r="J1532" s="35"/>
    </row>
    <row r="1533" spans="10:10" x14ac:dyDescent="0.2">
      <c r="J1533" s="35"/>
    </row>
    <row r="1534" spans="10:10" x14ac:dyDescent="0.2">
      <c r="J1534" s="35"/>
    </row>
    <row r="1535" spans="10:10" x14ac:dyDescent="0.2">
      <c r="J1535" s="35"/>
    </row>
    <row r="1536" spans="10:10" x14ac:dyDescent="0.2">
      <c r="J1536" s="35"/>
    </row>
    <row r="1537" spans="10:10" x14ac:dyDescent="0.2">
      <c r="J1537" s="35"/>
    </row>
    <row r="1538" spans="10:10" x14ac:dyDescent="0.2">
      <c r="J1538" s="35"/>
    </row>
    <row r="1539" spans="10:10" x14ac:dyDescent="0.2">
      <c r="J1539" s="35"/>
    </row>
    <row r="1540" spans="10:10" x14ac:dyDescent="0.2">
      <c r="J1540" s="35"/>
    </row>
    <row r="1541" spans="10:10" x14ac:dyDescent="0.2">
      <c r="J1541" s="35"/>
    </row>
    <row r="1542" spans="10:10" x14ac:dyDescent="0.2">
      <c r="J1542" s="35"/>
    </row>
    <row r="1543" spans="10:10" x14ac:dyDescent="0.2">
      <c r="J1543" s="35"/>
    </row>
    <row r="1544" spans="10:10" x14ac:dyDescent="0.2">
      <c r="J1544" s="35"/>
    </row>
    <row r="1545" spans="10:10" x14ac:dyDescent="0.2">
      <c r="J1545" s="35"/>
    </row>
    <row r="1546" spans="10:10" x14ac:dyDescent="0.2">
      <c r="J1546" s="35"/>
    </row>
    <row r="1547" spans="10:10" x14ac:dyDescent="0.2">
      <c r="J1547" s="35"/>
    </row>
    <row r="1548" spans="10:10" x14ac:dyDescent="0.2">
      <c r="J1548" s="35"/>
    </row>
    <row r="1549" spans="10:10" x14ac:dyDescent="0.2">
      <c r="J1549" s="35"/>
    </row>
    <row r="1550" spans="10:10" x14ac:dyDescent="0.2">
      <c r="J1550" s="35"/>
    </row>
    <row r="1551" spans="10:10" x14ac:dyDescent="0.2">
      <c r="J1551" s="35"/>
    </row>
    <row r="1552" spans="10:10" x14ac:dyDescent="0.2">
      <c r="J1552" s="35"/>
    </row>
    <row r="1553" spans="10:10" x14ac:dyDescent="0.2">
      <c r="J1553" s="35"/>
    </row>
    <row r="1554" spans="10:10" x14ac:dyDescent="0.2">
      <c r="J1554" s="35"/>
    </row>
    <row r="1555" spans="10:10" x14ac:dyDescent="0.2">
      <c r="J1555" s="35"/>
    </row>
    <row r="1556" spans="10:10" x14ac:dyDescent="0.2">
      <c r="J1556" s="35"/>
    </row>
    <row r="1557" spans="10:10" x14ac:dyDescent="0.2">
      <c r="J1557" s="35"/>
    </row>
    <row r="1558" spans="10:10" x14ac:dyDescent="0.2">
      <c r="J1558" s="35"/>
    </row>
    <row r="1559" spans="10:10" x14ac:dyDescent="0.2">
      <c r="J1559" s="35"/>
    </row>
    <row r="1560" spans="10:10" x14ac:dyDescent="0.2">
      <c r="J1560" s="35"/>
    </row>
    <row r="1561" spans="10:10" x14ac:dyDescent="0.2">
      <c r="J1561" s="35"/>
    </row>
    <row r="1562" spans="10:10" x14ac:dyDescent="0.2">
      <c r="J1562" s="35"/>
    </row>
    <row r="1563" spans="10:10" x14ac:dyDescent="0.2">
      <c r="J1563" s="35"/>
    </row>
    <row r="1564" spans="10:10" x14ac:dyDescent="0.2">
      <c r="J1564" s="35"/>
    </row>
    <row r="1565" spans="10:10" x14ac:dyDescent="0.2">
      <c r="J1565" s="35"/>
    </row>
    <row r="1566" spans="10:10" x14ac:dyDescent="0.2">
      <c r="J1566" s="35"/>
    </row>
    <row r="1567" spans="10:10" x14ac:dyDescent="0.2">
      <c r="J1567" s="35"/>
    </row>
    <row r="1568" spans="10:10" x14ac:dyDescent="0.2">
      <c r="J1568" s="35"/>
    </row>
    <row r="1569" spans="10:10" x14ac:dyDescent="0.2">
      <c r="J1569" s="35"/>
    </row>
    <row r="1570" spans="10:10" x14ac:dyDescent="0.2">
      <c r="J1570" s="35"/>
    </row>
    <row r="1571" spans="10:10" x14ac:dyDescent="0.2">
      <c r="J1571" s="35"/>
    </row>
    <row r="1572" spans="10:10" x14ac:dyDescent="0.2">
      <c r="J1572" s="35"/>
    </row>
    <row r="1573" spans="10:10" x14ac:dyDescent="0.2">
      <c r="J1573" s="35"/>
    </row>
    <row r="1574" spans="10:10" x14ac:dyDescent="0.2">
      <c r="J1574" s="35"/>
    </row>
    <row r="1575" spans="10:10" x14ac:dyDescent="0.2">
      <c r="J1575" s="35"/>
    </row>
    <row r="1576" spans="10:10" x14ac:dyDescent="0.2">
      <c r="J1576" s="35"/>
    </row>
    <row r="1577" spans="10:10" x14ac:dyDescent="0.2">
      <c r="J1577" s="35"/>
    </row>
    <row r="1578" spans="10:10" x14ac:dyDescent="0.2">
      <c r="J1578" s="35"/>
    </row>
    <row r="1579" spans="10:10" x14ac:dyDescent="0.2">
      <c r="J1579" s="35"/>
    </row>
    <row r="1580" spans="10:10" x14ac:dyDescent="0.2">
      <c r="J1580" s="35"/>
    </row>
    <row r="1581" spans="10:10" x14ac:dyDescent="0.2">
      <c r="J1581" s="35"/>
    </row>
    <row r="1582" spans="10:10" x14ac:dyDescent="0.2">
      <c r="J1582" s="35"/>
    </row>
    <row r="1583" spans="10:10" x14ac:dyDescent="0.2">
      <c r="J1583" s="35"/>
    </row>
    <row r="1584" spans="10:10" x14ac:dyDescent="0.2">
      <c r="J1584" s="35"/>
    </row>
    <row r="1585" spans="10:10" x14ac:dyDescent="0.2">
      <c r="J1585" s="35"/>
    </row>
    <row r="1586" spans="10:10" x14ac:dyDescent="0.2">
      <c r="J1586" s="35"/>
    </row>
    <row r="1587" spans="10:10" x14ac:dyDescent="0.2">
      <c r="J1587" s="35"/>
    </row>
    <row r="1588" spans="10:10" x14ac:dyDescent="0.2">
      <c r="J1588" s="35"/>
    </row>
    <row r="1589" spans="10:10" x14ac:dyDescent="0.2">
      <c r="J1589" s="35"/>
    </row>
    <row r="1590" spans="10:10" x14ac:dyDescent="0.2">
      <c r="J1590" s="35"/>
    </row>
    <row r="1591" spans="10:10" x14ac:dyDescent="0.2">
      <c r="J1591" s="35"/>
    </row>
    <row r="1592" spans="10:10" x14ac:dyDescent="0.2">
      <c r="J1592" s="35"/>
    </row>
    <row r="1593" spans="10:10" x14ac:dyDescent="0.2">
      <c r="J1593" s="35"/>
    </row>
    <row r="1594" spans="10:10" x14ac:dyDescent="0.2">
      <c r="J1594" s="35"/>
    </row>
    <row r="1595" spans="10:10" x14ac:dyDescent="0.2">
      <c r="J1595" s="35"/>
    </row>
    <row r="1596" spans="10:10" x14ac:dyDescent="0.2">
      <c r="J1596" s="35"/>
    </row>
    <row r="1597" spans="10:10" x14ac:dyDescent="0.2">
      <c r="J1597" s="35"/>
    </row>
    <row r="1598" spans="10:10" x14ac:dyDescent="0.2">
      <c r="J1598" s="35"/>
    </row>
    <row r="1599" spans="10:10" x14ac:dyDescent="0.2">
      <c r="J1599" s="35"/>
    </row>
    <row r="1600" spans="10:10" x14ac:dyDescent="0.2">
      <c r="J1600" s="35"/>
    </row>
    <row r="1601" spans="10:10" x14ac:dyDescent="0.2">
      <c r="J1601" s="35"/>
    </row>
    <row r="1602" spans="10:10" x14ac:dyDescent="0.2">
      <c r="J1602" s="35"/>
    </row>
    <row r="1603" spans="10:10" x14ac:dyDescent="0.2">
      <c r="J1603" s="35"/>
    </row>
    <row r="1604" spans="10:10" x14ac:dyDescent="0.2">
      <c r="J1604" s="35"/>
    </row>
    <row r="1605" spans="10:10" x14ac:dyDescent="0.2">
      <c r="J1605" s="35"/>
    </row>
    <row r="1606" spans="10:10" x14ac:dyDescent="0.2">
      <c r="J1606" s="35"/>
    </row>
    <row r="1607" spans="10:10" x14ac:dyDescent="0.2">
      <c r="J1607" s="35"/>
    </row>
    <row r="1608" spans="10:10" x14ac:dyDescent="0.2">
      <c r="J1608" s="35"/>
    </row>
    <row r="1609" spans="10:10" x14ac:dyDescent="0.2">
      <c r="J1609" s="35"/>
    </row>
    <row r="1610" spans="10:10" x14ac:dyDescent="0.2">
      <c r="J1610" s="35"/>
    </row>
    <row r="1611" spans="10:10" x14ac:dyDescent="0.2">
      <c r="J1611" s="35"/>
    </row>
    <row r="1612" spans="10:10" x14ac:dyDescent="0.2">
      <c r="J1612" s="35"/>
    </row>
    <row r="1613" spans="10:10" x14ac:dyDescent="0.2">
      <c r="J1613" s="35"/>
    </row>
    <row r="1614" spans="10:10" x14ac:dyDescent="0.2">
      <c r="J1614" s="35"/>
    </row>
    <row r="1615" spans="10:10" x14ac:dyDescent="0.2">
      <c r="J1615" s="35"/>
    </row>
    <row r="1616" spans="10:10" x14ac:dyDescent="0.2">
      <c r="J1616" s="35"/>
    </row>
    <row r="1617" spans="10:10" x14ac:dyDescent="0.2">
      <c r="J1617" s="35"/>
    </row>
    <row r="1618" spans="10:10" x14ac:dyDescent="0.2">
      <c r="J1618" s="35"/>
    </row>
    <row r="1619" spans="10:10" x14ac:dyDescent="0.2">
      <c r="J1619" s="35"/>
    </row>
    <row r="1620" spans="10:10" x14ac:dyDescent="0.2">
      <c r="J1620" s="35"/>
    </row>
    <row r="1621" spans="10:10" x14ac:dyDescent="0.2">
      <c r="J1621" s="35"/>
    </row>
    <row r="1622" spans="10:10" x14ac:dyDescent="0.2">
      <c r="J1622" s="35"/>
    </row>
    <row r="1623" spans="10:10" x14ac:dyDescent="0.2">
      <c r="J1623" s="35"/>
    </row>
    <row r="1624" spans="10:10" x14ac:dyDescent="0.2">
      <c r="J1624" s="35"/>
    </row>
    <row r="1625" spans="10:10" x14ac:dyDescent="0.2">
      <c r="J1625" s="35"/>
    </row>
    <row r="1626" spans="10:10" x14ac:dyDescent="0.2">
      <c r="J1626" s="35"/>
    </row>
    <row r="1627" spans="10:10" x14ac:dyDescent="0.2">
      <c r="J1627" s="35"/>
    </row>
    <row r="1628" spans="10:10" x14ac:dyDescent="0.2">
      <c r="J1628" s="35"/>
    </row>
    <row r="1629" spans="10:10" x14ac:dyDescent="0.2">
      <c r="J1629" s="35"/>
    </row>
    <row r="1630" spans="10:10" x14ac:dyDescent="0.2">
      <c r="J1630" s="35"/>
    </row>
    <row r="1631" spans="10:10" x14ac:dyDescent="0.2">
      <c r="J1631" s="35"/>
    </row>
    <row r="1632" spans="10:10" x14ac:dyDescent="0.2">
      <c r="J1632" s="35"/>
    </row>
    <row r="1633" spans="10:10" x14ac:dyDescent="0.2">
      <c r="J1633" s="35"/>
    </row>
    <row r="1634" spans="10:10" x14ac:dyDescent="0.2">
      <c r="J1634" s="35"/>
    </row>
    <row r="1635" spans="10:10" x14ac:dyDescent="0.2">
      <c r="J1635" s="35"/>
    </row>
    <row r="1636" spans="10:10" x14ac:dyDescent="0.2">
      <c r="J1636" s="35"/>
    </row>
    <row r="1637" spans="10:10" x14ac:dyDescent="0.2">
      <c r="J1637" s="35"/>
    </row>
    <row r="1638" spans="10:10" x14ac:dyDescent="0.2">
      <c r="J1638" s="35"/>
    </row>
    <row r="1639" spans="10:10" x14ac:dyDescent="0.2">
      <c r="J1639" s="35"/>
    </row>
    <row r="1640" spans="10:10" x14ac:dyDescent="0.2">
      <c r="J1640" s="35"/>
    </row>
    <row r="1641" spans="10:10" x14ac:dyDescent="0.2">
      <c r="J1641" s="35"/>
    </row>
    <row r="1642" spans="10:10" x14ac:dyDescent="0.2">
      <c r="J1642" s="35"/>
    </row>
    <row r="1643" spans="10:10" x14ac:dyDescent="0.2">
      <c r="J1643" s="35"/>
    </row>
    <row r="1644" spans="10:10" x14ac:dyDescent="0.2">
      <c r="J1644" s="35"/>
    </row>
    <row r="1645" spans="10:10" x14ac:dyDescent="0.2">
      <c r="J1645" s="35"/>
    </row>
    <row r="1646" spans="10:10" x14ac:dyDescent="0.2">
      <c r="J1646" s="35"/>
    </row>
    <row r="1647" spans="10:10" x14ac:dyDescent="0.2">
      <c r="J1647" s="35"/>
    </row>
    <row r="1648" spans="10:10" x14ac:dyDescent="0.2">
      <c r="J1648" s="35"/>
    </row>
    <row r="1649" spans="10:10" x14ac:dyDescent="0.2">
      <c r="J1649" s="35"/>
    </row>
    <row r="1650" spans="10:10" x14ac:dyDescent="0.2">
      <c r="J1650" s="35"/>
    </row>
    <row r="1651" spans="10:10" x14ac:dyDescent="0.2">
      <c r="J1651" s="35"/>
    </row>
    <row r="1652" spans="10:10" x14ac:dyDescent="0.2">
      <c r="J1652" s="35"/>
    </row>
    <row r="1653" spans="10:10" x14ac:dyDescent="0.2">
      <c r="J1653" s="35"/>
    </row>
    <row r="1654" spans="10:10" x14ac:dyDescent="0.2">
      <c r="J1654" s="35"/>
    </row>
    <row r="1655" spans="10:10" x14ac:dyDescent="0.2">
      <c r="J1655" s="35"/>
    </row>
    <row r="1656" spans="10:10" x14ac:dyDescent="0.2">
      <c r="J1656" s="35"/>
    </row>
    <row r="1657" spans="10:10" x14ac:dyDescent="0.2">
      <c r="J1657" s="35"/>
    </row>
    <row r="1658" spans="10:10" x14ac:dyDescent="0.2">
      <c r="J1658" s="35"/>
    </row>
    <row r="1659" spans="10:10" x14ac:dyDescent="0.2">
      <c r="J1659" s="35"/>
    </row>
    <row r="1660" spans="10:10" x14ac:dyDescent="0.2">
      <c r="J1660" s="35"/>
    </row>
    <row r="1661" spans="10:10" x14ac:dyDescent="0.2">
      <c r="J1661" s="35"/>
    </row>
    <row r="1662" spans="10:10" x14ac:dyDescent="0.2">
      <c r="J1662" s="35"/>
    </row>
    <row r="1663" spans="10:10" x14ac:dyDescent="0.2">
      <c r="J1663" s="35"/>
    </row>
    <row r="1664" spans="10:10" x14ac:dyDescent="0.2">
      <c r="J1664" s="35"/>
    </row>
    <row r="1665" spans="10:10" x14ac:dyDescent="0.2">
      <c r="J1665" s="35"/>
    </row>
    <row r="1666" spans="10:10" x14ac:dyDescent="0.2">
      <c r="J1666" s="35"/>
    </row>
    <row r="1667" spans="10:10" x14ac:dyDescent="0.2">
      <c r="J1667" s="35"/>
    </row>
    <row r="1668" spans="10:10" x14ac:dyDescent="0.2">
      <c r="J1668" s="35"/>
    </row>
    <row r="1669" spans="10:10" x14ac:dyDescent="0.2">
      <c r="J1669" s="35"/>
    </row>
    <row r="1670" spans="10:10" x14ac:dyDescent="0.2">
      <c r="J1670" s="35"/>
    </row>
    <row r="1671" spans="10:10" x14ac:dyDescent="0.2">
      <c r="J1671" s="35"/>
    </row>
    <row r="1672" spans="10:10" x14ac:dyDescent="0.2">
      <c r="J1672" s="35"/>
    </row>
    <row r="1673" spans="10:10" x14ac:dyDescent="0.2">
      <c r="J1673" s="35"/>
    </row>
    <row r="1674" spans="10:10" x14ac:dyDescent="0.2">
      <c r="J1674" s="35"/>
    </row>
    <row r="1675" spans="10:10" x14ac:dyDescent="0.2">
      <c r="J1675" s="35"/>
    </row>
    <row r="1676" spans="10:10" x14ac:dyDescent="0.2">
      <c r="J1676" s="35"/>
    </row>
    <row r="1677" spans="10:10" x14ac:dyDescent="0.2">
      <c r="J1677" s="35"/>
    </row>
    <row r="1678" spans="10:10" x14ac:dyDescent="0.2">
      <c r="J1678" s="35"/>
    </row>
    <row r="1679" spans="10:10" x14ac:dyDescent="0.2">
      <c r="J1679" s="35"/>
    </row>
    <row r="1680" spans="10:10" x14ac:dyDescent="0.2">
      <c r="J1680" s="35"/>
    </row>
    <row r="1681" spans="10:10" x14ac:dyDescent="0.2">
      <c r="J1681" s="35"/>
    </row>
    <row r="1682" spans="10:10" x14ac:dyDescent="0.2">
      <c r="J1682" s="35"/>
    </row>
    <row r="1683" spans="10:10" x14ac:dyDescent="0.2">
      <c r="J1683" s="35"/>
    </row>
    <row r="1684" spans="10:10" x14ac:dyDescent="0.2">
      <c r="J1684" s="35"/>
    </row>
    <row r="1685" spans="10:10" x14ac:dyDescent="0.2">
      <c r="J1685" s="35"/>
    </row>
    <row r="1686" spans="10:10" x14ac:dyDescent="0.2">
      <c r="J1686" s="35"/>
    </row>
    <row r="1687" spans="10:10" x14ac:dyDescent="0.2">
      <c r="J1687" s="35"/>
    </row>
    <row r="1688" spans="10:10" x14ac:dyDescent="0.2">
      <c r="J1688" s="35"/>
    </row>
    <row r="1689" spans="10:10" x14ac:dyDescent="0.2">
      <c r="J1689" s="35"/>
    </row>
    <row r="1690" spans="10:10" x14ac:dyDescent="0.2">
      <c r="J1690" s="35"/>
    </row>
    <row r="1691" spans="10:10" x14ac:dyDescent="0.2">
      <c r="J1691" s="35"/>
    </row>
    <row r="1692" spans="10:10" x14ac:dyDescent="0.2">
      <c r="J1692" s="35"/>
    </row>
    <row r="1693" spans="10:10" x14ac:dyDescent="0.2">
      <c r="J1693" s="35"/>
    </row>
    <row r="1694" spans="10:10" x14ac:dyDescent="0.2">
      <c r="J1694" s="35"/>
    </row>
    <row r="1695" spans="10:10" x14ac:dyDescent="0.2">
      <c r="J1695" s="35"/>
    </row>
    <row r="1696" spans="10:10" x14ac:dyDescent="0.2">
      <c r="J1696" s="35"/>
    </row>
    <row r="1697" spans="10:10" x14ac:dyDescent="0.2">
      <c r="J1697" s="35"/>
    </row>
    <row r="1698" spans="10:10" x14ac:dyDescent="0.2">
      <c r="J1698" s="35"/>
    </row>
    <row r="1699" spans="10:10" x14ac:dyDescent="0.2">
      <c r="J1699" s="35"/>
    </row>
    <row r="1700" spans="10:10" x14ac:dyDescent="0.2">
      <c r="J1700" s="35"/>
    </row>
    <row r="1701" spans="10:10" x14ac:dyDescent="0.2">
      <c r="J1701" s="35"/>
    </row>
    <row r="1702" spans="10:10" x14ac:dyDescent="0.2">
      <c r="J1702" s="35"/>
    </row>
    <row r="1703" spans="10:10" x14ac:dyDescent="0.2">
      <c r="J1703" s="35"/>
    </row>
    <row r="1704" spans="10:10" x14ac:dyDescent="0.2">
      <c r="J1704" s="35"/>
    </row>
    <row r="1705" spans="10:10" x14ac:dyDescent="0.2">
      <c r="J1705" s="35"/>
    </row>
    <row r="1706" spans="10:10" x14ac:dyDescent="0.2">
      <c r="J1706" s="35"/>
    </row>
    <row r="1707" spans="10:10" x14ac:dyDescent="0.2">
      <c r="J1707" s="35"/>
    </row>
    <row r="1708" spans="10:10" x14ac:dyDescent="0.2">
      <c r="J1708" s="35"/>
    </row>
    <row r="1709" spans="10:10" x14ac:dyDescent="0.2">
      <c r="J1709" s="35"/>
    </row>
    <row r="1710" spans="10:10" x14ac:dyDescent="0.2">
      <c r="J1710" s="35"/>
    </row>
    <row r="1711" spans="10:10" x14ac:dyDescent="0.2">
      <c r="J1711" s="35"/>
    </row>
    <row r="1712" spans="10:10" x14ac:dyDescent="0.2">
      <c r="J1712" s="35"/>
    </row>
    <row r="1713" spans="10:10" x14ac:dyDescent="0.2">
      <c r="J1713" s="35"/>
    </row>
    <row r="1714" spans="10:10" x14ac:dyDescent="0.2">
      <c r="J1714" s="35"/>
    </row>
    <row r="1715" spans="10:10" x14ac:dyDescent="0.2">
      <c r="J1715" s="35"/>
    </row>
    <row r="1716" spans="10:10" x14ac:dyDescent="0.2">
      <c r="J1716" s="35"/>
    </row>
    <row r="1717" spans="10:10" x14ac:dyDescent="0.2">
      <c r="J1717" s="35"/>
    </row>
    <row r="1718" spans="10:10" x14ac:dyDescent="0.2">
      <c r="J1718" s="35"/>
    </row>
    <row r="1719" spans="10:10" x14ac:dyDescent="0.2">
      <c r="J1719" s="35"/>
    </row>
    <row r="1720" spans="10:10" x14ac:dyDescent="0.2">
      <c r="J1720" s="35"/>
    </row>
    <row r="1721" spans="10:10" x14ac:dyDescent="0.2">
      <c r="J1721" s="35"/>
    </row>
    <row r="1722" spans="10:10" x14ac:dyDescent="0.2">
      <c r="J1722" s="35"/>
    </row>
    <row r="1723" spans="10:10" x14ac:dyDescent="0.2">
      <c r="J1723" s="35"/>
    </row>
    <row r="1724" spans="10:10" x14ac:dyDescent="0.2">
      <c r="J1724" s="35"/>
    </row>
    <row r="1725" spans="10:10" x14ac:dyDescent="0.2">
      <c r="J1725" s="35"/>
    </row>
    <row r="1726" spans="10:10" x14ac:dyDescent="0.2">
      <c r="J1726" s="35"/>
    </row>
    <row r="1727" spans="10:10" x14ac:dyDescent="0.2">
      <c r="J1727" s="35"/>
    </row>
    <row r="1728" spans="10:10" x14ac:dyDescent="0.2">
      <c r="J1728" s="35"/>
    </row>
    <row r="1729" spans="10:10" x14ac:dyDescent="0.2">
      <c r="J1729" s="35"/>
    </row>
    <row r="1730" spans="10:10" x14ac:dyDescent="0.2">
      <c r="J1730" s="35"/>
    </row>
    <row r="1731" spans="10:10" x14ac:dyDescent="0.2">
      <c r="J1731" s="35"/>
    </row>
    <row r="1732" spans="10:10" x14ac:dyDescent="0.2">
      <c r="J1732" s="35"/>
    </row>
    <row r="1733" spans="10:10" x14ac:dyDescent="0.2">
      <c r="J1733" s="35"/>
    </row>
    <row r="1734" spans="10:10" x14ac:dyDescent="0.2">
      <c r="J1734" s="35"/>
    </row>
    <row r="1735" spans="10:10" x14ac:dyDescent="0.2">
      <c r="J1735" s="35"/>
    </row>
    <row r="1736" spans="10:10" x14ac:dyDescent="0.2">
      <c r="J1736" s="35"/>
    </row>
    <row r="1737" spans="10:10" x14ac:dyDescent="0.2">
      <c r="J1737" s="35"/>
    </row>
    <row r="1738" spans="10:10" x14ac:dyDescent="0.2">
      <c r="J1738" s="35"/>
    </row>
    <row r="1739" spans="10:10" x14ac:dyDescent="0.2">
      <c r="J1739" s="35"/>
    </row>
    <row r="1740" spans="10:10" x14ac:dyDescent="0.2">
      <c r="J1740" s="35"/>
    </row>
    <row r="1741" spans="10:10" x14ac:dyDescent="0.2">
      <c r="J1741" s="35"/>
    </row>
    <row r="1742" spans="10:10" x14ac:dyDescent="0.2">
      <c r="J1742" s="35"/>
    </row>
    <row r="1743" spans="10:10" x14ac:dyDescent="0.2">
      <c r="J1743" s="35"/>
    </row>
    <row r="1744" spans="10:10" x14ac:dyDescent="0.2">
      <c r="J1744" s="35"/>
    </row>
    <row r="1745" spans="10:10" x14ac:dyDescent="0.2">
      <c r="J1745" s="35"/>
    </row>
    <row r="1746" spans="10:10" x14ac:dyDescent="0.2">
      <c r="J1746" s="35"/>
    </row>
    <row r="1747" spans="10:10" x14ac:dyDescent="0.2">
      <c r="J1747" s="35"/>
    </row>
    <row r="1748" spans="10:10" x14ac:dyDescent="0.2">
      <c r="J1748" s="35"/>
    </row>
    <row r="1749" spans="10:10" x14ac:dyDescent="0.2">
      <c r="J1749" s="35"/>
    </row>
    <row r="1750" spans="10:10" x14ac:dyDescent="0.2">
      <c r="J1750" s="35"/>
    </row>
    <row r="1751" spans="10:10" x14ac:dyDescent="0.2">
      <c r="J1751" s="35"/>
    </row>
    <row r="1752" spans="10:10" x14ac:dyDescent="0.2">
      <c r="J1752" s="35"/>
    </row>
    <row r="1753" spans="10:10" x14ac:dyDescent="0.2">
      <c r="J1753" s="35"/>
    </row>
    <row r="1754" spans="10:10" x14ac:dyDescent="0.2">
      <c r="J1754" s="35"/>
    </row>
    <row r="1755" spans="10:10" x14ac:dyDescent="0.2">
      <c r="J1755" s="35"/>
    </row>
    <row r="1756" spans="10:10" x14ac:dyDescent="0.2">
      <c r="J1756" s="35"/>
    </row>
    <row r="1757" spans="10:10" x14ac:dyDescent="0.2">
      <c r="J1757" s="35"/>
    </row>
    <row r="1758" spans="10:10" x14ac:dyDescent="0.2">
      <c r="J1758" s="35"/>
    </row>
    <row r="1759" spans="10:10" x14ac:dyDescent="0.2">
      <c r="J1759" s="35"/>
    </row>
    <row r="1760" spans="10:10" x14ac:dyDescent="0.2">
      <c r="J1760" s="35"/>
    </row>
    <row r="1761" spans="10:10" x14ac:dyDescent="0.2">
      <c r="J1761" s="35"/>
    </row>
    <row r="1762" spans="10:10" x14ac:dyDescent="0.2">
      <c r="J1762" s="35"/>
    </row>
    <row r="1763" spans="10:10" x14ac:dyDescent="0.2">
      <c r="J1763" s="35"/>
    </row>
    <row r="1764" spans="10:10" x14ac:dyDescent="0.2">
      <c r="J1764" s="35"/>
    </row>
    <row r="1765" spans="10:10" x14ac:dyDescent="0.2">
      <c r="J1765" s="35"/>
    </row>
    <row r="1766" spans="10:10" x14ac:dyDescent="0.2">
      <c r="J1766" s="35"/>
    </row>
    <row r="1767" spans="10:10" x14ac:dyDescent="0.2">
      <c r="J1767" s="35"/>
    </row>
    <row r="1768" spans="10:10" x14ac:dyDescent="0.2">
      <c r="J1768" s="35"/>
    </row>
    <row r="1769" spans="10:10" x14ac:dyDescent="0.2">
      <c r="J1769" s="35"/>
    </row>
    <row r="1770" spans="10:10" x14ac:dyDescent="0.2">
      <c r="J1770" s="35"/>
    </row>
    <row r="1771" spans="10:10" x14ac:dyDescent="0.2">
      <c r="J1771" s="35"/>
    </row>
    <row r="1772" spans="10:10" x14ac:dyDescent="0.2">
      <c r="J1772" s="35"/>
    </row>
    <row r="1773" spans="10:10" x14ac:dyDescent="0.2">
      <c r="J1773" s="35"/>
    </row>
    <row r="1774" spans="10:10" x14ac:dyDescent="0.2">
      <c r="J1774" s="35"/>
    </row>
    <row r="1775" spans="10:10" x14ac:dyDescent="0.2">
      <c r="J1775" s="35"/>
    </row>
    <row r="1776" spans="10:10" x14ac:dyDescent="0.2">
      <c r="J1776" s="35"/>
    </row>
    <row r="1777" spans="10:10" x14ac:dyDescent="0.2">
      <c r="J1777" s="35"/>
    </row>
    <row r="1778" spans="10:10" x14ac:dyDescent="0.2">
      <c r="J1778" s="35"/>
    </row>
    <row r="1779" spans="10:10" x14ac:dyDescent="0.2">
      <c r="J1779" s="35"/>
    </row>
    <row r="1780" spans="10:10" x14ac:dyDescent="0.2">
      <c r="J1780" s="35"/>
    </row>
    <row r="1781" spans="10:10" x14ac:dyDescent="0.2">
      <c r="J1781" s="35"/>
    </row>
    <row r="1782" spans="10:10" x14ac:dyDescent="0.2">
      <c r="J1782" s="35"/>
    </row>
    <row r="1783" spans="10:10" x14ac:dyDescent="0.2">
      <c r="J1783" s="35"/>
    </row>
    <row r="1784" spans="10:10" x14ac:dyDescent="0.2">
      <c r="J1784" s="35"/>
    </row>
    <row r="1785" spans="10:10" x14ac:dyDescent="0.2">
      <c r="J1785" s="35"/>
    </row>
    <row r="1786" spans="10:10" x14ac:dyDescent="0.2">
      <c r="J1786" s="35"/>
    </row>
    <row r="1787" spans="10:10" x14ac:dyDescent="0.2">
      <c r="J1787" s="35"/>
    </row>
    <row r="1788" spans="10:10" x14ac:dyDescent="0.2">
      <c r="J1788" s="35"/>
    </row>
    <row r="1789" spans="10:10" x14ac:dyDescent="0.2">
      <c r="J1789" s="35"/>
    </row>
    <row r="1790" spans="10:10" x14ac:dyDescent="0.2">
      <c r="J1790" s="35"/>
    </row>
    <row r="1791" spans="10:10" x14ac:dyDescent="0.2">
      <c r="J1791" s="35"/>
    </row>
    <row r="1792" spans="10:10" x14ac:dyDescent="0.2">
      <c r="J1792" s="35"/>
    </row>
    <row r="1793" spans="10:10" x14ac:dyDescent="0.2">
      <c r="J1793" s="35"/>
    </row>
    <row r="1794" spans="10:10" x14ac:dyDescent="0.2">
      <c r="J1794" s="35"/>
    </row>
    <row r="1795" spans="10:10" x14ac:dyDescent="0.2">
      <c r="J1795" s="35"/>
    </row>
    <row r="1796" spans="10:10" x14ac:dyDescent="0.2">
      <c r="J1796" s="35"/>
    </row>
    <row r="1797" spans="10:10" x14ac:dyDescent="0.2">
      <c r="J1797" s="35"/>
    </row>
    <row r="1798" spans="10:10" x14ac:dyDescent="0.2">
      <c r="J1798" s="35"/>
    </row>
    <row r="1799" spans="10:10" x14ac:dyDescent="0.2">
      <c r="J1799" s="35"/>
    </row>
    <row r="1800" spans="10:10" x14ac:dyDescent="0.2">
      <c r="J1800" s="35"/>
    </row>
    <row r="1801" spans="10:10" x14ac:dyDescent="0.2">
      <c r="J1801" s="35"/>
    </row>
    <row r="1802" spans="10:10" x14ac:dyDescent="0.2">
      <c r="J1802" s="35"/>
    </row>
    <row r="1803" spans="10:10" x14ac:dyDescent="0.2">
      <c r="J1803" s="35"/>
    </row>
    <row r="1804" spans="10:10" x14ac:dyDescent="0.2">
      <c r="J1804" s="35"/>
    </row>
    <row r="1805" spans="10:10" x14ac:dyDescent="0.2">
      <c r="J1805" s="35"/>
    </row>
    <row r="1806" spans="10:10" x14ac:dyDescent="0.2">
      <c r="J1806" s="35"/>
    </row>
    <row r="1807" spans="10:10" x14ac:dyDescent="0.2">
      <c r="J1807" s="35"/>
    </row>
    <row r="1808" spans="10:10" x14ac:dyDescent="0.2">
      <c r="J1808" s="35"/>
    </row>
    <row r="1809" spans="10:10" x14ac:dyDescent="0.2">
      <c r="J1809" s="35"/>
    </row>
    <row r="1810" spans="10:10" x14ac:dyDescent="0.2">
      <c r="J1810" s="35"/>
    </row>
    <row r="1811" spans="10:10" x14ac:dyDescent="0.2">
      <c r="J1811" s="35"/>
    </row>
    <row r="1812" spans="10:10" x14ac:dyDescent="0.2">
      <c r="J1812" s="35"/>
    </row>
    <row r="1813" spans="10:10" x14ac:dyDescent="0.2">
      <c r="J1813" s="35"/>
    </row>
    <row r="1814" spans="10:10" x14ac:dyDescent="0.2">
      <c r="J1814" s="35"/>
    </row>
    <row r="1815" spans="10:10" x14ac:dyDescent="0.2">
      <c r="J1815" s="35"/>
    </row>
    <row r="1816" spans="10:10" x14ac:dyDescent="0.2">
      <c r="J1816" s="35"/>
    </row>
    <row r="1817" spans="10:10" x14ac:dyDescent="0.2">
      <c r="J1817" s="35"/>
    </row>
    <row r="1818" spans="10:10" x14ac:dyDescent="0.2">
      <c r="J1818" s="35"/>
    </row>
    <row r="1819" spans="10:10" x14ac:dyDescent="0.2">
      <c r="J1819" s="35"/>
    </row>
    <row r="1820" spans="10:10" x14ac:dyDescent="0.2">
      <c r="J1820" s="35"/>
    </row>
    <row r="1821" spans="10:10" x14ac:dyDescent="0.2">
      <c r="J1821" s="35"/>
    </row>
    <row r="1822" spans="10:10" x14ac:dyDescent="0.2">
      <c r="J1822" s="35"/>
    </row>
    <row r="1823" spans="10:10" x14ac:dyDescent="0.2">
      <c r="J1823" s="35"/>
    </row>
    <row r="1824" spans="10:10" x14ac:dyDescent="0.2">
      <c r="J1824" s="35"/>
    </row>
    <row r="1825" spans="10:10" x14ac:dyDescent="0.2">
      <c r="J1825" s="35"/>
    </row>
    <row r="1826" spans="10:10" x14ac:dyDescent="0.2">
      <c r="J1826" s="35"/>
    </row>
    <row r="1827" spans="10:10" x14ac:dyDescent="0.2">
      <c r="J1827" s="35"/>
    </row>
    <row r="1828" spans="10:10" x14ac:dyDescent="0.2">
      <c r="J1828" s="35"/>
    </row>
    <row r="1829" spans="10:10" x14ac:dyDescent="0.2">
      <c r="J1829" s="35"/>
    </row>
    <row r="1830" spans="10:10" x14ac:dyDescent="0.2">
      <c r="J1830" s="35"/>
    </row>
    <row r="1831" spans="10:10" x14ac:dyDescent="0.2">
      <c r="J1831" s="35"/>
    </row>
    <row r="1832" spans="10:10" x14ac:dyDescent="0.2">
      <c r="J1832" s="35"/>
    </row>
    <row r="1833" spans="10:10" x14ac:dyDescent="0.2">
      <c r="J1833" s="35"/>
    </row>
    <row r="1834" spans="10:10" x14ac:dyDescent="0.2">
      <c r="J1834" s="35"/>
    </row>
    <row r="1835" spans="10:10" x14ac:dyDescent="0.2">
      <c r="J1835" s="35"/>
    </row>
    <row r="1836" spans="10:10" x14ac:dyDescent="0.2">
      <c r="J1836" s="35"/>
    </row>
    <row r="1837" spans="10:10" x14ac:dyDescent="0.2">
      <c r="J1837" s="35"/>
    </row>
    <row r="1838" spans="10:10" x14ac:dyDescent="0.2">
      <c r="J1838" s="35"/>
    </row>
    <row r="1839" spans="10:10" x14ac:dyDescent="0.2">
      <c r="J1839" s="35"/>
    </row>
    <row r="1840" spans="10:10" x14ac:dyDescent="0.2">
      <c r="J1840" s="35"/>
    </row>
    <row r="1841" spans="10:10" x14ac:dyDescent="0.2">
      <c r="J1841" s="35"/>
    </row>
    <row r="1842" spans="10:10" x14ac:dyDescent="0.2">
      <c r="J1842" s="35"/>
    </row>
    <row r="1843" spans="10:10" x14ac:dyDescent="0.2">
      <c r="J1843" s="35"/>
    </row>
    <row r="1844" spans="10:10" x14ac:dyDescent="0.2">
      <c r="J1844" s="35"/>
    </row>
    <row r="1845" spans="10:10" x14ac:dyDescent="0.2">
      <c r="J1845" s="35"/>
    </row>
    <row r="1846" spans="10:10" x14ac:dyDescent="0.2">
      <c r="J1846" s="35"/>
    </row>
    <row r="1847" spans="10:10" x14ac:dyDescent="0.2">
      <c r="J1847" s="35"/>
    </row>
    <row r="1848" spans="10:10" x14ac:dyDescent="0.2">
      <c r="J1848" s="35"/>
    </row>
    <row r="1849" spans="10:10" x14ac:dyDescent="0.2">
      <c r="J1849" s="35"/>
    </row>
    <row r="1850" spans="10:10" x14ac:dyDescent="0.2">
      <c r="J1850" s="35"/>
    </row>
    <row r="1851" spans="10:10" x14ac:dyDescent="0.2">
      <c r="J1851" s="35"/>
    </row>
    <row r="1852" spans="10:10" x14ac:dyDescent="0.2">
      <c r="J1852" s="35"/>
    </row>
    <row r="1853" spans="10:10" x14ac:dyDescent="0.2">
      <c r="J1853" s="35"/>
    </row>
    <row r="1854" spans="10:10" x14ac:dyDescent="0.2">
      <c r="J1854" s="35"/>
    </row>
    <row r="1855" spans="10:10" x14ac:dyDescent="0.2">
      <c r="J1855" s="35"/>
    </row>
    <row r="1856" spans="10:10" x14ac:dyDescent="0.2">
      <c r="J1856" s="35"/>
    </row>
    <row r="1857" spans="10:10" x14ac:dyDescent="0.2">
      <c r="J1857" s="35"/>
    </row>
    <row r="1858" spans="10:10" x14ac:dyDescent="0.2">
      <c r="J1858" s="35"/>
    </row>
    <row r="1859" spans="10:10" x14ac:dyDescent="0.2">
      <c r="J1859" s="35"/>
    </row>
    <row r="1860" spans="10:10" x14ac:dyDescent="0.2">
      <c r="J1860" s="35"/>
    </row>
    <row r="1861" spans="10:10" x14ac:dyDescent="0.2">
      <c r="J1861" s="35"/>
    </row>
    <row r="1862" spans="10:10" x14ac:dyDescent="0.2">
      <c r="J1862" s="35"/>
    </row>
    <row r="1863" spans="10:10" x14ac:dyDescent="0.2">
      <c r="J1863" s="35"/>
    </row>
    <row r="1864" spans="10:10" x14ac:dyDescent="0.2">
      <c r="J1864" s="35"/>
    </row>
    <row r="1865" spans="10:10" x14ac:dyDescent="0.2">
      <c r="J1865" s="35"/>
    </row>
    <row r="1866" spans="10:10" x14ac:dyDescent="0.2">
      <c r="J1866" s="35"/>
    </row>
    <row r="1867" spans="10:10" x14ac:dyDescent="0.2">
      <c r="J1867" s="35"/>
    </row>
    <row r="1868" spans="10:10" x14ac:dyDescent="0.2">
      <c r="J1868" s="35"/>
    </row>
    <row r="1869" spans="10:10" x14ac:dyDescent="0.2">
      <c r="J1869" s="35"/>
    </row>
    <row r="1870" spans="10:10" x14ac:dyDescent="0.2">
      <c r="J1870" s="35"/>
    </row>
    <row r="1871" spans="10:10" x14ac:dyDescent="0.2">
      <c r="J1871" s="35"/>
    </row>
    <row r="1872" spans="10:10" x14ac:dyDescent="0.2">
      <c r="J1872" s="35"/>
    </row>
    <row r="1873" spans="10:10" x14ac:dyDescent="0.2">
      <c r="J1873" s="35"/>
    </row>
    <row r="1874" spans="10:10" x14ac:dyDescent="0.2">
      <c r="J1874" s="35"/>
    </row>
    <row r="1875" spans="10:10" x14ac:dyDescent="0.2">
      <c r="J1875" s="35"/>
    </row>
    <row r="1876" spans="10:10" x14ac:dyDescent="0.2">
      <c r="J1876" s="35"/>
    </row>
    <row r="1877" spans="10:10" x14ac:dyDescent="0.2">
      <c r="J1877" s="35"/>
    </row>
    <row r="1878" spans="10:10" x14ac:dyDescent="0.2">
      <c r="J1878" s="35"/>
    </row>
    <row r="1879" spans="10:10" x14ac:dyDescent="0.2">
      <c r="J1879" s="35"/>
    </row>
    <row r="1880" spans="10:10" x14ac:dyDescent="0.2">
      <c r="J1880" s="35"/>
    </row>
    <row r="1881" spans="10:10" x14ac:dyDescent="0.2">
      <c r="J1881" s="35"/>
    </row>
    <row r="1882" spans="10:10" x14ac:dyDescent="0.2">
      <c r="J1882" s="35"/>
    </row>
    <row r="1883" spans="10:10" x14ac:dyDescent="0.2">
      <c r="J1883" s="35"/>
    </row>
    <row r="1884" spans="10:10" x14ac:dyDescent="0.2">
      <c r="J1884" s="35"/>
    </row>
    <row r="1885" spans="10:10" x14ac:dyDescent="0.2">
      <c r="J1885" s="35"/>
    </row>
    <row r="1886" spans="10:10" x14ac:dyDescent="0.2">
      <c r="J1886" s="35"/>
    </row>
    <row r="1887" spans="10:10" x14ac:dyDescent="0.2">
      <c r="J1887" s="35"/>
    </row>
    <row r="1888" spans="10:10" x14ac:dyDescent="0.2">
      <c r="J1888" s="35"/>
    </row>
    <row r="1889" spans="10:10" x14ac:dyDescent="0.2">
      <c r="J1889" s="35"/>
    </row>
    <row r="1890" spans="10:10" x14ac:dyDescent="0.2">
      <c r="J1890" s="35"/>
    </row>
    <row r="1891" spans="10:10" x14ac:dyDescent="0.2">
      <c r="J1891" s="35"/>
    </row>
    <row r="1892" spans="10:10" x14ac:dyDescent="0.2">
      <c r="J1892" s="35"/>
    </row>
    <row r="1893" spans="10:10" x14ac:dyDescent="0.2">
      <c r="J1893" s="35"/>
    </row>
    <row r="1894" spans="10:10" x14ac:dyDescent="0.2">
      <c r="J1894" s="35"/>
    </row>
    <row r="1895" spans="10:10" x14ac:dyDescent="0.2">
      <c r="J1895" s="35"/>
    </row>
    <row r="1896" spans="10:10" x14ac:dyDescent="0.2">
      <c r="J1896" s="35"/>
    </row>
    <row r="1897" spans="10:10" x14ac:dyDescent="0.2">
      <c r="J1897" s="35"/>
    </row>
    <row r="1898" spans="10:10" x14ac:dyDescent="0.2">
      <c r="J1898" s="35"/>
    </row>
    <row r="1899" spans="10:10" x14ac:dyDescent="0.2">
      <c r="J1899" s="35"/>
    </row>
    <row r="1900" spans="10:10" x14ac:dyDescent="0.2">
      <c r="J1900" s="35"/>
    </row>
    <row r="1901" spans="10:10" x14ac:dyDescent="0.2">
      <c r="J1901" s="35"/>
    </row>
    <row r="1902" spans="10:10" x14ac:dyDescent="0.2">
      <c r="J1902" s="35"/>
    </row>
    <row r="1903" spans="10:10" x14ac:dyDescent="0.2">
      <c r="J1903" s="35"/>
    </row>
    <row r="1904" spans="10:10" x14ac:dyDescent="0.2">
      <c r="J1904" s="35"/>
    </row>
    <row r="1905" spans="10:10" x14ac:dyDescent="0.2">
      <c r="J1905" s="35"/>
    </row>
    <row r="1906" spans="10:10" x14ac:dyDescent="0.2">
      <c r="J1906" s="35"/>
    </row>
    <row r="1907" spans="10:10" x14ac:dyDescent="0.2">
      <c r="J1907" s="35"/>
    </row>
    <row r="1908" spans="10:10" x14ac:dyDescent="0.2">
      <c r="J1908" s="35"/>
    </row>
    <row r="1909" spans="10:10" x14ac:dyDescent="0.2">
      <c r="J1909" s="35"/>
    </row>
    <row r="1910" spans="10:10" x14ac:dyDescent="0.2">
      <c r="J1910" s="35"/>
    </row>
  </sheetData>
  <autoFilter ref="A1:O505" xr:uid="{00000000-0009-0000-0000-000000000000}"/>
  <dataValidations count="3">
    <dataValidation allowBlank="1" showInputMessage="1" showErrorMessage="1" sqref="A13:A23" xr:uid="{A05D3881-3C3F-4736-8FA2-285B4EB7EBAC}"/>
    <dataValidation type="date" allowBlank="1" showInputMessage="1" showErrorMessage="1" sqref="F10:F11" xr:uid="{E2E69A9D-237C-485D-94FE-B94083C8A277}">
      <formula1>45292</formula1>
      <formula2>45657</formula2>
    </dataValidation>
    <dataValidation type="date" operator="greaterThan" allowBlank="1" showInputMessage="1" showErrorMessage="1" sqref="G10:G11" xr:uid="{1DA9F689-DE52-461B-BA6B-911900D9927E}">
      <formula1>44927</formula1>
    </dataValidation>
  </dataValidations>
  <hyperlinks>
    <hyperlink ref="A500" r:id="rId1" xr:uid="{A2D9110F-62E5-E741-9E34-D1766C78BE17}"/>
  </hyperlinks>
  <pageMargins left="0.7" right="0.7" top="0.75" bottom="0.75" header="0.3" footer="0.3"/>
  <pageSetup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68da5f85-e182-4cd5-ad53-4b88b7fa14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6B1C0547A1C8D42B71F8B6F843C9067" ma:contentTypeVersion="18" ma:contentTypeDescription="Crear nuevo documento." ma:contentTypeScope="" ma:versionID="9ebd38461b14db93a12842c8dc458eba">
  <xsd:schema xmlns:xsd="http://www.w3.org/2001/XMLSchema" xmlns:xs="http://www.w3.org/2001/XMLSchema" xmlns:p="http://schemas.microsoft.com/office/2006/metadata/properties" xmlns:ns3="fc9bb637-31a1-45e3-99d8-5503741ee48a" xmlns:ns4="68da5f85-e182-4cd5-ad53-4b88b7fa14a8" targetNamespace="http://schemas.microsoft.com/office/2006/metadata/properties" ma:root="true" ma:fieldsID="58129c4ddec1dea399102fd0c87f76c8" ns3:_="" ns4:_="">
    <xsd:import namespace="fc9bb637-31a1-45e3-99d8-5503741ee48a"/>
    <xsd:import namespace="68da5f85-e182-4cd5-ad53-4b88b7fa14a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SearchProperties" minOccurs="0"/>
                <xsd:element ref="ns4:_activity" minOccurs="0"/>
                <xsd:element ref="ns4:MediaServiceObjectDetectorVersions" minOccurs="0"/>
                <xsd:element ref="ns4:MediaServiceSystemTag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9bb637-31a1-45e3-99d8-5503741ee48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da5f85-e182-4cd5-ad53-4b88b7fa14a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74D4A7-0EBC-4D0B-8885-4FA0B53F7A11}">
  <ds:schemaRefs>
    <ds:schemaRef ds:uri="http://schemas.microsoft.com/sharepoint/v3/contenttype/forms"/>
  </ds:schemaRefs>
</ds:datastoreItem>
</file>

<file path=customXml/itemProps2.xml><?xml version="1.0" encoding="utf-8"?>
<ds:datastoreItem xmlns:ds="http://schemas.openxmlformats.org/officeDocument/2006/customXml" ds:itemID="{81E32AC9-F128-4F60-AAD3-78227CE054B3}">
  <ds:schemaRefs>
    <ds:schemaRef ds:uri="http://www.w3.org/XML/1998/namespace"/>
    <ds:schemaRef ds:uri="fc9bb637-31a1-45e3-99d8-5503741ee48a"/>
    <ds:schemaRef ds:uri="http://purl.org/dc/elements/1.1/"/>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68da5f85-e182-4cd5-ad53-4b88b7fa14a8"/>
    <ds:schemaRef ds:uri="http://schemas.microsoft.com/office/2006/metadata/properties"/>
  </ds:schemaRefs>
</ds:datastoreItem>
</file>

<file path=customXml/itemProps3.xml><?xml version="1.0" encoding="utf-8"?>
<ds:datastoreItem xmlns:ds="http://schemas.openxmlformats.org/officeDocument/2006/customXml" ds:itemID="{38259CBB-6699-42FA-A45E-B3B876878E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9bb637-31a1-45e3-99d8-5503741ee48a"/>
    <ds:schemaRef ds:uri="68da5f85-e182-4cd5-ad53-4b88b7fa14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Alexis Lara</dc:creator>
  <cp:lastModifiedBy>Daniel  Esteban Ruano Ruiz</cp:lastModifiedBy>
  <dcterms:created xsi:type="dcterms:W3CDTF">2023-04-01T18:22:54Z</dcterms:created>
  <dcterms:modified xsi:type="dcterms:W3CDTF">2025-12-22T15:53:21Z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0x01010006B1C0547A1C8D42B71F8B6F843C9067</vt:lpwstr>
  </property>
</Properties>
</file>