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daniel.ruanor\Downloads\"/>
    </mc:Choice>
  </mc:AlternateContent>
  <xr:revisionPtr revIDLastSave="0" documentId="13_ncr:1_{924C7088-442C-48B1-B7F9-5C6CA22F6A71}" xr6:coauthVersionLast="36" xr6:coauthVersionMax="36" xr10:uidLastSave="{00000000-0000-0000-0000-000000000000}"/>
  <bookViews>
    <workbookView xWindow="0" yWindow="0" windowWidth="21540" windowHeight="7875" xr2:uid="{00000000-000D-0000-FFFF-FFFF00000000}"/>
  </bookViews>
  <sheets>
    <sheet name="Hoja1" sheetId="2" r:id="rId1"/>
  </sheets>
  <definedNames>
    <definedName name="_xlnm._FilterDatabase" localSheetId="0" hidden="1">Hoja1!$A$1:$O$13</definedName>
  </definedNames>
  <calcPr calcId="191029"/>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2" l="1"/>
  <c r="J7" i="2"/>
  <c r="J5" i="2"/>
  <c r="J8" i="2"/>
  <c r="J4" i="2"/>
  <c r="J168" i="2"/>
  <c r="J198" i="2"/>
  <c r="J277" i="2"/>
  <c r="J204" i="2"/>
  <c r="J181" i="2"/>
  <c r="J273" i="2"/>
  <c r="K273" i="2" s="1"/>
  <c r="L273" i="2" s="1"/>
  <c r="J264" i="2" l="1"/>
  <c r="J290" i="2"/>
  <c r="J202" i="2"/>
  <c r="L329" i="2"/>
  <c r="L351" i="2"/>
  <c r="K318" i="2"/>
  <c r="L318" i="2" s="1"/>
  <c r="K319" i="2"/>
  <c r="L319" i="2" s="1"/>
  <c r="K320" i="2"/>
  <c r="L320" i="2" s="1"/>
  <c r="K321" i="2"/>
  <c r="L321" i="2" s="1"/>
  <c r="K322" i="2"/>
  <c r="L322" i="2" s="1"/>
  <c r="K323" i="2"/>
  <c r="L323" i="2" s="1"/>
  <c r="K324" i="2"/>
  <c r="L324" i="2" s="1"/>
  <c r="K325" i="2"/>
  <c r="L325" i="2" s="1"/>
  <c r="K326" i="2"/>
  <c r="L326" i="2" s="1"/>
  <c r="K327" i="2"/>
  <c r="L327" i="2" s="1"/>
  <c r="K328" i="2"/>
  <c r="L328" i="2" s="1"/>
  <c r="K329" i="2"/>
  <c r="K330" i="2"/>
  <c r="L330" i="2" s="1"/>
  <c r="K331" i="2"/>
  <c r="L331" i="2" s="1"/>
  <c r="K332" i="2"/>
  <c r="L332" i="2" s="1"/>
  <c r="K333" i="2"/>
  <c r="L333" i="2" s="1"/>
  <c r="K334" i="2"/>
  <c r="L334" i="2" s="1"/>
  <c r="K335" i="2"/>
  <c r="L335" i="2" s="1"/>
  <c r="K336" i="2"/>
  <c r="L336" i="2" s="1"/>
  <c r="K337" i="2"/>
  <c r="L337" i="2" s="1"/>
  <c r="K338" i="2"/>
  <c r="L338" i="2" s="1"/>
  <c r="K339" i="2"/>
  <c r="L339" i="2" s="1"/>
  <c r="K340" i="2"/>
  <c r="L340" i="2" s="1"/>
  <c r="K341" i="2"/>
  <c r="L341" i="2" s="1"/>
  <c r="K342" i="2"/>
  <c r="L342" i="2" s="1"/>
  <c r="K343" i="2"/>
  <c r="L343" i="2" s="1"/>
  <c r="K344" i="2"/>
  <c r="L344" i="2" s="1"/>
  <c r="K345" i="2"/>
  <c r="L345" i="2" s="1"/>
  <c r="K346" i="2"/>
  <c r="L346" i="2" s="1"/>
  <c r="K347" i="2"/>
  <c r="L347" i="2" s="1"/>
  <c r="K348" i="2"/>
  <c r="L348" i="2" s="1"/>
  <c r="K349" i="2"/>
  <c r="L349" i="2" s="1"/>
  <c r="K350" i="2"/>
  <c r="L350" i="2" s="1"/>
  <c r="K351" i="2"/>
  <c r="K352" i="2"/>
  <c r="L352" i="2" s="1"/>
  <c r="K353" i="2"/>
  <c r="L353" i="2" s="1"/>
  <c r="K354" i="2"/>
  <c r="L354" i="2" s="1"/>
  <c r="K355" i="2"/>
  <c r="L355" i="2" s="1"/>
  <c r="K356" i="2"/>
  <c r="L356" i="2" s="1"/>
  <c r="K357" i="2"/>
  <c r="L357" i="2" s="1"/>
  <c r="K358" i="2"/>
  <c r="L358" i="2" s="1"/>
  <c r="K359" i="2"/>
  <c r="L359" i="2" s="1"/>
  <c r="K360" i="2"/>
  <c r="L360" i="2" s="1"/>
  <c r="K361" i="2"/>
  <c r="L361" i="2" s="1"/>
  <c r="K362" i="2"/>
  <c r="L362" i="2" s="1"/>
  <c r="K363" i="2"/>
  <c r="L363" i="2" s="1"/>
  <c r="K364" i="2"/>
  <c r="L364" i="2" s="1"/>
  <c r="K365" i="2"/>
  <c r="L365" i="2" s="1"/>
  <c r="J317" i="2" l="1"/>
  <c r="J315" i="2"/>
  <c r="J314" i="2"/>
  <c r="J313" i="2"/>
  <c r="J312" i="2"/>
  <c r="J311" i="2"/>
  <c r="J310" i="2"/>
  <c r="J307" i="2"/>
  <c r="J306" i="2"/>
  <c r="J304" i="2"/>
  <c r="J303" i="2"/>
  <c r="J302" i="2"/>
  <c r="J300" i="2"/>
  <c r="J299" i="2"/>
  <c r="J298" i="2"/>
  <c r="J295" i="2"/>
  <c r="J294" i="2"/>
  <c r="J293" i="2"/>
  <c r="J292" i="2"/>
  <c r="J291" i="2"/>
  <c r="J289" i="2"/>
  <c r="J288" i="2"/>
  <c r="J286" i="2"/>
  <c r="J285" i="2"/>
  <c r="J284" i="2"/>
  <c r="J283" i="2"/>
  <c r="J282" i="2"/>
  <c r="J281" i="2"/>
  <c r="J280" i="2"/>
  <c r="J279" i="2"/>
  <c r="J278" i="2"/>
  <c r="J276" i="2"/>
  <c r="K276" i="2" s="1"/>
  <c r="L276" i="2" s="1"/>
  <c r="J275" i="2"/>
  <c r="J274" i="2"/>
  <c r="J272" i="2"/>
  <c r="J271" i="2"/>
  <c r="J270" i="2"/>
  <c r="J269" i="2"/>
  <c r="J268" i="2"/>
  <c r="J267" i="2"/>
  <c r="J266" i="2"/>
  <c r="J263" i="2"/>
  <c r="J262" i="2"/>
  <c r="J261" i="2"/>
  <c r="J260" i="2"/>
  <c r="J259" i="2"/>
  <c r="J257" i="2"/>
  <c r="J256" i="2"/>
  <c r="J255" i="2"/>
  <c r="J254" i="2"/>
  <c r="J253" i="2"/>
  <c r="J252" i="2"/>
  <c r="J249" i="2"/>
  <c r="J248" i="2"/>
  <c r="J247" i="2"/>
  <c r="J246" i="2"/>
  <c r="J244" i="2"/>
  <c r="J243" i="2"/>
  <c r="J242" i="2"/>
  <c r="J241" i="2"/>
  <c r="J240" i="2"/>
  <c r="J239" i="2"/>
  <c r="J238" i="2"/>
  <c r="J237" i="2"/>
  <c r="J236" i="2"/>
  <c r="J235" i="2"/>
  <c r="J234" i="2"/>
  <c r="J232" i="2"/>
  <c r="J231" i="2"/>
  <c r="J230" i="2"/>
  <c r="J228" i="2"/>
  <c r="J227" i="2"/>
  <c r="J226" i="2"/>
  <c r="J225" i="2"/>
  <c r="J224" i="2"/>
  <c r="J223" i="2"/>
  <c r="J221" i="2"/>
  <c r="J220" i="2"/>
  <c r="J218" i="2"/>
  <c r="J217" i="2"/>
  <c r="J216" i="2"/>
  <c r="J215" i="2"/>
  <c r="J213" i="2"/>
  <c r="J212" i="2"/>
  <c r="J211" i="2"/>
  <c r="J210" i="2"/>
  <c r="J209" i="2"/>
  <c r="J207" i="2"/>
  <c r="J206" i="2"/>
  <c r="J205" i="2"/>
  <c r="J203" i="2"/>
  <c r="J201" i="2"/>
  <c r="J199" i="2"/>
  <c r="J197" i="2"/>
  <c r="J196" i="2"/>
  <c r="J194" i="2"/>
  <c r="J192" i="2"/>
  <c r="J191" i="2"/>
  <c r="J190" i="2"/>
  <c r="J189" i="2"/>
  <c r="J188" i="2"/>
  <c r="J187" i="2"/>
  <c r="J186" i="2"/>
  <c r="J185" i="2"/>
  <c r="J184" i="2"/>
  <c r="J182" i="2"/>
  <c r="J180" i="2"/>
  <c r="J179" i="2"/>
  <c r="J178" i="2"/>
  <c r="J175" i="2"/>
  <c r="J174" i="2"/>
  <c r="J173" i="2"/>
  <c r="J172" i="2"/>
  <c r="J165" i="2"/>
  <c r="J164" i="2"/>
  <c r="J163" i="2"/>
  <c r="J162" i="2"/>
  <c r="J160" i="2"/>
  <c r="J158" i="2"/>
  <c r="J157" i="2"/>
  <c r="J156" i="2"/>
  <c r="J155" i="2"/>
  <c r="J154" i="2"/>
  <c r="J153" i="2"/>
  <c r="J151" i="2"/>
  <c r="J150" i="2"/>
  <c r="J149" i="2"/>
  <c r="J148" i="2"/>
  <c r="J146" i="2"/>
  <c r="J144" i="2"/>
  <c r="J143" i="2"/>
  <c r="J142" i="2"/>
  <c r="J141" i="2"/>
  <c r="J138" i="2"/>
  <c r="J137" i="2"/>
  <c r="J135" i="2"/>
  <c r="J134" i="2"/>
  <c r="J132" i="2"/>
  <c r="J131" i="2"/>
  <c r="J130" i="2"/>
  <c r="J128" i="2"/>
  <c r="J125" i="2"/>
  <c r="J124" i="2"/>
  <c r="J122" i="2"/>
  <c r="J121" i="2"/>
  <c r="J119" i="2"/>
  <c r="J118" i="2"/>
  <c r="J117" i="2"/>
  <c r="J116" i="2"/>
  <c r="J115" i="2"/>
  <c r="J114" i="2"/>
  <c r="J113" i="2"/>
  <c r="J112" i="2"/>
  <c r="J111" i="2"/>
  <c r="J108" i="2"/>
  <c r="J107" i="2"/>
  <c r="J106" i="2"/>
  <c r="J105" i="2"/>
  <c r="K105" i="2" s="1"/>
  <c r="J103" i="2"/>
  <c r="J102" i="2"/>
  <c r="J98" i="2"/>
  <c r="J93" i="2"/>
  <c r="J92" i="2"/>
  <c r="J90" i="2"/>
  <c r="J84" i="2"/>
  <c r="J83" i="2"/>
  <c r="J82" i="2"/>
  <c r="J74" i="2"/>
  <c r="J71" i="2"/>
  <c r="J70" i="2"/>
  <c r="J56" i="2"/>
  <c r="J55" i="2"/>
  <c r="J43" i="2"/>
  <c r="J30" i="2"/>
  <c r="J48" i="2"/>
  <c r="J35" i="2"/>
  <c r="J19" i="2"/>
  <c r="J16" i="2"/>
  <c r="J15" i="2"/>
  <c r="J14" i="2"/>
  <c r="K14" i="2"/>
  <c r="K277" i="2" l="1"/>
  <c r="L277" i="2" s="1"/>
  <c r="K283" i="2"/>
  <c r="K279" i="2"/>
  <c r="L279" i="2" s="1"/>
  <c r="K280" i="2"/>
  <c r="L280" i="2" s="1"/>
  <c r="K281" i="2"/>
  <c r="L281" i="2" s="1"/>
  <c r="J250" i="2"/>
  <c r="J233" i="2"/>
  <c r="J229" i="2"/>
  <c r="J214" i="2"/>
  <c r="J208" i="2"/>
  <c r="J195" i="2"/>
  <c r="J183" i="2"/>
  <c r="J167" i="2"/>
  <c r="J147" i="2"/>
  <c r="J136" i="2"/>
  <c r="J104" i="2"/>
  <c r="K104" i="2" s="1"/>
  <c r="J100" i="2"/>
  <c r="J94" i="2"/>
  <c r="J87" i="2"/>
  <c r="J86" i="2"/>
  <c r="J33" i="2"/>
  <c r="K8" i="2"/>
  <c r="J9" i="2"/>
  <c r="K5" i="2"/>
  <c r="J2" i="2"/>
  <c r="J6" i="2"/>
  <c r="J200" i="2"/>
  <c r="J171" i="2"/>
  <c r="J20" i="2"/>
  <c r="K284" i="2"/>
  <c r="L284" i="2" s="1"/>
  <c r="K285" i="2"/>
  <c r="L285" i="2" s="1"/>
  <c r="K286" i="2"/>
  <c r="L286" i="2" s="1"/>
  <c r="K287" i="2"/>
  <c r="L287" i="2" s="1"/>
  <c r="K288" i="2"/>
  <c r="L288" i="2" s="1"/>
  <c r="K289" i="2"/>
  <c r="L289" i="2" s="1"/>
  <c r="K290" i="2"/>
  <c r="L290" i="2" s="1"/>
  <c r="K291" i="2"/>
  <c r="L291" i="2" s="1"/>
  <c r="K292" i="2"/>
  <c r="L292" i="2" s="1"/>
  <c r="K293" i="2"/>
  <c r="L293" i="2" s="1"/>
  <c r="K294" i="2"/>
  <c r="L294" i="2" s="1"/>
  <c r="K295" i="2"/>
  <c r="L295" i="2" s="1"/>
  <c r="K296" i="2"/>
  <c r="L296" i="2" s="1"/>
  <c r="K297" i="2"/>
  <c r="L297" i="2" s="1"/>
  <c r="K298" i="2"/>
  <c r="L298" i="2" s="1"/>
  <c r="K299" i="2"/>
  <c r="L299" i="2" s="1"/>
  <c r="K300" i="2"/>
  <c r="L300" i="2" s="1"/>
  <c r="K301" i="2"/>
  <c r="L301" i="2" s="1"/>
  <c r="K302" i="2"/>
  <c r="L302" i="2" s="1"/>
  <c r="K303" i="2"/>
  <c r="L303" i="2" s="1"/>
  <c r="K304" i="2"/>
  <c r="L304" i="2" s="1"/>
  <c r="K305" i="2"/>
  <c r="L305" i="2" s="1"/>
  <c r="K306" i="2"/>
  <c r="L306" i="2" s="1"/>
  <c r="K307" i="2"/>
  <c r="L307" i="2" s="1"/>
  <c r="K308" i="2"/>
  <c r="L308" i="2" s="1"/>
  <c r="K309" i="2"/>
  <c r="L309" i="2"/>
  <c r="K310" i="2"/>
  <c r="L310" i="2" s="1"/>
  <c r="K311" i="2"/>
  <c r="L311" i="2" s="1"/>
  <c r="K312" i="2"/>
  <c r="L312" i="2" s="1"/>
  <c r="K313" i="2"/>
  <c r="L313" i="2" s="1"/>
  <c r="K314" i="2"/>
  <c r="L314" i="2" s="1"/>
  <c r="K315" i="2"/>
  <c r="L315" i="2" s="1"/>
  <c r="K316" i="2"/>
  <c r="L316" i="2" s="1"/>
  <c r="K317" i="2"/>
  <c r="L317" i="2" s="1"/>
  <c r="K7" i="2" l="1"/>
  <c r="L7" i="2" s="1"/>
  <c r="L3" i="2" l="1"/>
  <c r="K282" i="2"/>
  <c r="L282" i="2" s="1"/>
  <c r="L283" i="2"/>
  <c r="K274" i="2"/>
  <c r="L274" i="2" s="1"/>
  <c r="K272" i="2"/>
  <c r="K271" i="2"/>
  <c r="K278" i="2"/>
  <c r="L278" i="2" s="1"/>
  <c r="K275" i="2"/>
  <c r="L275" i="2" s="1"/>
  <c r="J193" i="2" l="1"/>
  <c r="J177" i="2"/>
  <c r="J176" i="2"/>
  <c r="J166" i="2"/>
  <c r="J152" i="2"/>
  <c r="J145" i="2"/>
  <c r="J133" i="2"/>
  <c r="J129" i="2"/>
  <c r="J127" i="2"/>
  <c r="J126" i="2"/>
  <c r="J123" i="2"/>
  <c r="J120" i="2"/>
  <c r="J109" i="2"/>
  <c r="J101" i="2"/>
  <c r="J99" i="2"/>
  <c r="J96" i="2"/>
  <c r="J91" i="2"/>
  <c r="J88" i="2"/>
  <c r="J79" i="2"/>
  <c r="J66" i="2"/>
  <c r="J64" i="2"/>
  <c r="J51" i="2"/>
  <c r="J72" i="2"/>
  <c r="J42" i="2"/>
  <c r="J73" i="2"/>
  <c r="K200" i="2" l="1"/>
  <c r="L272" i="2" l="1"/>
  <c r="K198" i="2"/>
  <c r="L198" i="2" s="1"/>
  <c r="K199" i="2"/>
  <c r="L199" i="2" s="1"/>
  <c r="L200" i="2"/>
  <c r="K201" i="2"/>
  <c r="L201" i="2" s="1"/>
  <c r="K202" i="2"/>
  <c r="L202" i="2" s="1"/>
  <c r="K203" i="2"/>
  <c r="L203" i="2" s="1"/>
  <c r="K204" i="2"/>
  <c r="L204" i="2" s="1"/>
  <c r="K205" i="2"/>
  <c r="L205" i="2" s="1"/>
  <c r="K206" i="2"/>
  <c r="L206" i="2" s="1"/>
  <c r="K207" i="2"/>
  <c r="L207" i="2" s="1"/>
  <c r="K208" i="2"/>
  <c r="L208" i="2" s="1"/>
  <c r="K209" i="2"/>
  <c r="L209" i="2" s="1"/>
  <c r="K210" i="2"/>
  <c r="L210" i="2" s="1"/>
  <c r="K211" i="2"/>
  <c r="L211" i="2" s="1"/>
  <c r="K212" i="2"/>
  <c r="L212" i="2" s="1"/>
  <c r="K213" i="2"/>
  <c r="L213" i="2" s="1"/>
  <c r="K214" i="2"/>
  <c r="L214" i="2" s="1"/>
  <c r="K215" i="2"/>
  <c r="L215" i="2" s="1"/>
  <c r="K216" i="2"/>
  <c r="L216" i="2" s="1"/>
  <c r="K217" i="2"/>
  <c r="L217" i="2" s="1"/>
  <c r="K218" i="2"/>
  <c r="L218" i="2" s="1"/>
  <c r="K219" i="2"/>
  <c r="L219" i="2" s="1"/>
  <c r="K220" i="2"/>
  <c r="L220" i="2" s="1"/>
  <c r="K221" i="2"/>
  <c r="L221" i="2" s="1"/>
  <c r="K222" i="2"/>
  <c r="L222" i="2" s="1"/>
  <c r="K223" i="2"/>
  <c r="L223" i="2" s="1"/>
  <c r="K224" i="2"/>
  <c r="L224" i="2" s="1"/>
  <c r="K225" i="2"/>
  <c r="L225" i="2" s="1"/>
  <c r="K226" i="2"/>
  <c r="L226" i="2" s="1"/>
  <c r="K227" i="2"/>
  <c r="L227" i="2" s="1"/>
  <c r="K228" i="2"/>
  <c r="L228" i="2" s="1"/>
  <c r="K229" i="2"/>
  <c r="L229" i="2" s="1"/>
  <c r="K230" i="2"/>
  <c r="L230" i="2" s="1"/>
  <c r="K231" i="2"/>
  <c r="L231" i="2" s="1"/>
  <c r="K232" i="2"/>
  <c r="L232" i="2" s="1"/>
  <c r="K233" i="2"/>
  <c r="L233" i="2" s="1"/>
  <c r="K234" i="2"/>
  <c r="L234" i="2" s="1"/>
  <c r="K235" i="2"/>
  <c r="L235" i="2" s="1"/>
  <c r="K236" i="2"/>
  <c r="L236" i="2" s="1"/>
  <c r="K237" i="2"/>
  <c r="L237" i="2" s="1"/>
  <c r="K238" i="2"/>
  <c r="L238" i="2" s="1"/>
  <c r="K239" i="2"/>
  <c r="L239" i="2" s="1"/>
  <c r="K240" i="2"/>
  <c r="L240" i="2" s="1"/>
  <c r="K241" i="2"/>
  <c r="L241" i="2" s="1"/>
  <c r="K242" i="2"/>
  <c r="L242" i="2" s="1"/>
  <c r="K243" i="2"/>
  <c r="L243" i="2" s="1"/>
  <c r="K244" i="2"/>
  <c r="L244" i="2" s="1"/>
  <c r="K245" i="2"/>
  <c r="L245" i="2" s="1"/>
  <c r="K246" i="2"/>
  <c r="L246" i="2" s="1"/>
  <c r="K247" i="2"/>
  <c r="L247" i="2" s="1"/>
  <c r="K248" i="2"/>
  <c r="L248" i="2" s="1"/>
  <c r="K249" i="2"/>
  <c r="L249" i="2" s="1"/>
  <c r="K250" i="2"/>
  <c r="L250" i="2" s="1"/>
  <c r="K251" i="2"/>
  <c r="L251" i="2" s="1"/>
  <c r="K252" i="2"/>
  <c r="L252" i="2" s="1"/>
  <c r="K253" i="2"/>
  <c r="L253" i="2" s="1"/>
  <c r="K254" i="2"/>
  <c r="L254" i="2" s="1"/>
  <c r="K255" i="2"/>
  <c r="L255" i="2" s="1"/>
  <c r="K256" i="2"/>
  <c r="L256" i="2" s="1"/>
  <c r="K257" i="2"/>
  <c r="L257" i="2" s="1"/>
  <c r="K258" i="2"/>
  <c r="L258" i="2" s="1"/>
  <c r="K259" i="2"/>
  <c r="L259" i="2" s="1"/>
  <c r="K260" i="2"/>
  <c r="L260" i="2" s="1"/>
  <c r="K261" i="2"/>
  <c r="L261" i="2" s="1"/>
  <c r="K262" i="2"/>
  <c r="L262" i="2" s="1"/>
  <c r="K263" i="2"/>
  <c r="L263" i="2" s="1"/>
  <c r="K264" i="2"/>
  <c r="L264" i="2" s="1"/>
  <c r="K265" i="2"/>
  <c r="L265" i="2" s="1"/>
  <c r="K266" i="2"/>
  <c r="L266" i="2" s="1"/>
  <c r="K267" i="2"/>
  <c r="L267" i="2" s="1"/>
  <c r="K268" i="2"/>
  <c r="L268" i="2" s="1"/>
  <c r="K269" i="2"/>
  <c r="L269" i="2" s="1"/>
  <c r="K270" i="2"/>
  <c r="L270" i="2" s="1"/>
  <c r="L271" i="2"/>
  <c r="J17" i="2" l="1"/>
  <c r="L5" i="2" l="1"/>
  <c r="K10" i="2"/>
  <c r="L10" i="2" s="1"/>
  <c r="K11" i="2"/>
  <c r="L11" i="2" s="1"/>
  <c r="K4" i="2"/>
  <c r="L4" i="2" s="1"/>
  <c r="K2" i="2"/>
  <c r="L2" i="2" s="1"/>
  <c r="K6" i="2"/>
  <c r="L6" i="2" s="1"/>
  <c r="K129" i="2" l="1"/>
  <c r="L129" i="2" s="1"/>
  <c r="J57" i="2"/>
  <c r="K143" i="2"/>
  <c r="L143" i="2" s="1"/>
  <c r="K139" i="2"/>
  <c r="L139" i="2" s="1"/>
  <c r="K141" i="2"/>
  <c r="L141" i="2" s="1"/>
  <c r="K140" i="2"/>
  <c r="L140" i="2" s="1"/>
  <c r="K197" i="2"/>
  <c r="L197" i="2" s="1"/>
  <c r="K196" i="2"/>
  <c r="L196" i="2" s="1"/>
  <c r="K195" i="2"/>
  <c r="L195" i="2" s="1"/>
  <c r="K194" i="2"/>
  <c r="L194" i="2" s="1"/>
  <c r="K193" i="2"/>
  <c r="L193" i="2" s="1"/>
  <c r="K192" i="2"/>
  <c r="L192" i="2" s="1"/>
  <c r="K191" i="2"/>
  <c r="L191" i="2" s="1"/>
  <c r="K190" i="2"/>
  <c r="L190" i="2" s="1"/>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K164" i="2"/>
  <c r="L164" i="2" s="1"/>
  <c r="K163" i="2"/>
  <c r="L163" i="2" s="1"/>
  <c r="K162" i="2"/>
  <c r="L162" i="2" s="1"/>
  <c r="K161" i="2"/>
  <c r="L161" i="2" s="1"/>
  <c r="K160" i="2"/>
  <c r="L160" i="2" s="1"/>
  <c r="K159" i="2"/>
  <c r="L159" i="2" s="1"/>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L147" i="2" s="1"/>
  <c r="K146" i="2"/>
  <c r="L146" i="2" s="1"/>
  <c r="K145" i="2"/>
  <c r="L145" i="2" s="1"/>
  <c r="K144" i="2"/>
  <c r="L144" i="2" s="1"/>
  <c r="K142" i="2"/>
  <c r="L142" i="2" s="1"/>
  <c r="K138" i="2" l="1"/>
  <c r="L138" i="2" s="1"/>
  <c r="K137" i="2"/>
  <c r="L137" i="2" s="1"/>
  <c r="K136" i="2"/>
  <c r="L136" i="2" s="1"/>
  <c r="K135" i="2"/>
  <c r="L135" i="2" s="1"/>
  <c r="K134" i="2"/>
  <c r="L134" i="2" s="1"/>
  <c r="K133" i="2"/>
  <c r="L133" i="2" s="1"/>
  <c r="K128" i="2"/>
  <c r="L128" i="2" s="1"/>
  <c r="K130" i="2"/>
  <c r="L130" i="2" s="1"/>
  <c r="K131" i="2"/>
  <c r="L131" i="2" s="1"/>
  <c r="K132" i="2"/>
  <c r="L132" i="2" s="1"/>
  <c r="K127" i="2"/>
  <c r="L127" i="2" s="1"/>
  <c r="K124" i="2" l="1"/>
  <c r="L124" i="2" s="1"/>
  <c r="K123" i="2"/>
  <c r="L123" i="2" s="1"/>
  <c r="J97" i="2"/>
  <c r="J95" i="2"/>
  <c r="J85" i="2"/>
  <c r="J81" i="2"/>
  <c r="J80" i="2"/>
  <c r="J78" i="2"/>
  <c r="J77" i="2"/>
  <c r="J76" i="2"/>
  <c r="J75" i="2"/>
  <c r="J69" i="2"/>
  <c r="J68" i="2"/>
  <c r="J67" i="2"/>
  <c r="J65" i="2"/>
  <c r="J63" i="2"/>
  <c r="J62" i="2"/>
  <c r="J60" i="2"/>
  <c r="J54" i="2"/>
  <c r="J53" i="2"/>
  <c r="J52" i="2"/>
  <c r="J49" i="2"/>
  <c r="J46" i="2"/>
  <c r="J45" i="2"/>
  <c r="J44" i="2"/>
  <c r="J39" i="2"/>
  <c r="J37" i="2"/>
  <c r="J31" i="2"/>
  <c r="J28" i="2"/>
  <c r="J26" i="2"/>
  <c r="J25" i="2"/>
  <c r="K72" i="2"/>
  <c r="J50" i="2" l="1"/>
  <c r="J41" i="2"/>
  <c r="J40" i="2"/>
  <c r="K9" i="2"/>
  <c r="L9" i="2" s="1"/>
  <c r="J61" i="2" l="1"/>
  <c r="J59" i="2"/>
  <c r="J47" i="2"/>
  <c r="J34" i="2"/>
  <c r="J32" i="2"/>
  <c r="J29" i="2"/>
  <c r="J27" i="2"/>
  <c r="J24" i="2"/>
  <c r="K24" i="2" s="1"/>
  <c r="J23" i="2"/>
  <c r="K19" i="2"/>
  <c r="J22" i="2"/>
  <c r="J21" i="2"/>
  <c r="J18" i="2"/>
  <c r="J13" i="2"/>
  <c r="L8" i="2" l="1"/>
  <c r="J12" i="2" l="1"/>
  <c r="K12" i="2" s="1"/>
  <c r="L12"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L104" i="2"/>
  <c r="L105" i="2"/>
  <c r="K106" i="2"/>
  <c r="L106" i="2" s="1"/>
  <c r="K107" i="2"/>
  <c r="L107" i="2" s="1"/>
  <c r="K108" i="2"/>
  <c r="L108" i="2" s="1"/>
  <c r="K109" i="2"/>
  <c r="L109" i="2" s="1"/>
  <c r="K110" i="2"/>
  <c r="L110" i="2" s="1"/>
  <c r="K111" i="2"/>
  <c r="L111" i="2" s="1"/>
  <c r="K112" i="2"/>
  <c r="L112" i="2" s="1"/>
  <c r="K113" i="2"/>
  <c r="L113" i="2" s="1"/>
  <c r="K114" i="2"/>
  <c r="L114" i="2" s="1"/>
  <c r="K115" i="2"/>
  <c r="L115" i="2" s="1"/>
  <c r="K116" i="2"/>
  <c r="L116" i="2" s="1"/>
  <c r="K117" i="2"/>
  <c r="L117" i="2" s="1"/>
  <c r="K118" i="2"/>
  <c r="L118" i="2" s="1"/>
  <c r="K119" i="2"/>
  <c r="L119" i="2" s="1"/>
  <c r="K120" i="2"/>
  <c r="L120" i="2" s="1"/>
  <c r="K121" i="2"/>
  <c r="L121" i="2" s="1"/>
  <c r="K122" i="2"/>
  <c r="L122" i="2" s="1"/>
  <c r="K125" i="2"/>
  <c r="L125" i="2" s="1"/>
  <c r="K126" i="2"/>
  <c r="L126" i="2" s="1"/>
  <c r="K66" i="2"/>
  <c r="L66" i="2" s="1"/>
  <c r="L24" i="2" l="1"/>
  <c r="K25" i="2"/>
  <c r="L25" i="2" s="1"/>
  <c r="K26" i="2"/>
  <c r="L26" i="2" s="1"/>
  <c r="K27" i="2"/>
  <c r="L27" i="2" s="1"/>
  <c r="K28" i="2"/>
  <c r="L28" i="2" s="1"/>
  <c r="K29" i="2"/>
  <c r="L29" i="2" s="1"/>
  <c r="K30" i="2"/>
  <c r="L30" i="2" s="1"/>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8" i="2"/>
  <c r="L48" i="2" s="1"/>
  <c r="K49" i="2"/>
  <c r="L49" i="2" s="1"/>
  <c r="K50" i="2"/>
  <c r="L50" i="2"/>
  <c r="K51" i="2"/>
  <c r="L51" i="2" s="1"/>
  <c r="K52" i="2"/>
  <c r="L52" i="2" s="1"/>
  <c r="K53" i="2"/>
  <c r="L53" i="2" s="1"/>
  <c r="K54" i="2"/>
  <c r="L54" i="2" s="1"/>
  <c r="K55" i="2"/>
  <c r="L55" i="2" s="1"/>
  <c r="K56" i="2"/>
  <c r="L56" i="2" s="1"/>
  <c r="K57" i="2"/>
  <c r="L57" i="2" s="1"/>
  <c r="K58" i="2"/>
  <c r="L58" i="2" s="1"/>
  <c r="K59" i="2"/>
  <c r="L59" i="2" s="1"/>
  <c r="K60" i="2"/>
  <c r="L60" i="2" s="1"/>
  <c r="K61" i="2"/>
  <c r="L61" i="2" s="1"/>
  <c r="K62" i="2"/>
  <c r="L62" i="2" s="1"/>
  <c r="K63" i="2"/>
  <c r="L63" i="2" s="1"/>
  <c r="K64" i="2"/>
  <c r="L64" i="2" s="1"/>
  <c r="K65" i="2"/>
  <c r="L65" i="2" s="1"/>
  <c r="K67" i="2"/>
  <c r="L67" i="2" s="1"/>
  <c r="K68" i="2"/>
  <c r="L68" i="2" s="1"/>
  <c r="K69" i="2"/>
  <c r="L69" i="2" s="1"/>
  <c r="K70" i="2"/>
  <c r="L70" i="2" s="1"/>
  <c r="K71" i="2"/>
  <c r="L71" i="2" s="1"/>
  <c r="L72" i="2"/>
  <c r="K73" i="2"/>
  <c r="L73" i="2" s="1"/>
  <c r="K74" i="2"/>
  <c r="L74" i="2" s="1"/>
  <c r="K75" i="2"/>
  <c r="L75" i="2" s="1"/>
  <c r="K76" i="2"/>
  <c r="L76" i="2" s="1"/>
  <c r="K77" i="2"/>
  <c r="L77" i="2" s="1"/>
  <c r="K78" i="2"/>
  <c r="L78" i="2" s="1"/>
  <c r="K79" i="2"/>
  <c r="L79" i="2" s="1"/>
  <c r="K80" i="2"/>
  <c r="L80" i="2" s="1"/>
  <c r="K81" i="2"/>
  <c r="L81" i="2" s="1"/>
  <c r="K82" i="2"/>
  <c r="L82" i="2" s="1"/>
  <c r="K83" i="2"/>
  <c r="L83" i="2" s="1"/>
  <c r="K20" i="2"/>
  <c r="L20" i="2" s="1"/>
  <c r="L14" i="2"/>
  <c r="K15" i="2"/>
  <c r="L15" i="2" s="1"/>
  <c r="K16" i="2"/>
  <c r="L16" i="2" s="1"/>
  <c r="K17" i="2"/>
  <c r="L17" i="2" s="1"/>
  <c r="K18" i="2"/>
  <c r="L18" i="2" s="1"/>
  <c r="L19" i="2"/>
  <c r="K21" i="2"/>
  <c r="L21" i="2" s="1"/>
  <c r="K22" i="2"/>
  <c r="L22" i="2" s="1"/>
  <c r="K13" i="2"/>
  <c r="L13" i="2" s="1"/>
  <c r="K23" i="2"/>
  <c r="L23" i="2" s="1"/>
  <c r="K47" i="2"/>
  <c r="L4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tc={3D2F2DDD-23B1-45F3-B67E-F4719C35BFAB}</author>
    <author>tc={146697C5-B488-4126-97FD-8A098FC05664}</author>
  </authors>
  <commentList>
    <comment ref="E335" authorId="0" shapeId="0" xr:uid="{ACA189DD-8B37-4448-A332-F33ED20A8D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t>
        </r>
      </text>
    </comment>
    <comment ref="E364" authorId="1" shapeId="0" xr:uid="{5389908D-6DFB-4315-9BBF-2B31D02737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List>
</comments>
</file>

<file path=xl/sharedStrings.xml><?xml version="1.0" encoding="utf-8"?>
<sst xmlns="http://schemas.openxmlformats.org/spreadsheetml/2006/main" count="955" uniqueCount="911">
  <si>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</si>
  <si>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</si>
  <si>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</si>
  <si>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</si>
  <si>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</si>
  <si>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</si>
  <si>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</si>
  <si>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</si>
  <si>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</si>
  <si>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</si>
  <si>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</si>
  <si>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</si>
  <si>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</si>
  <si>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</si>
  <si>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</si>
  <si>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</si>
  <si>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</si>
  <si>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</si>
  <si>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</si>
  <si>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</si>
  <si>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</si>
  <si>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</si>
  <si>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</si>
  <si>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</si>
  <si>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</si>
  <si>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</si>
  <si>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</si>
  <si>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</si>
  <si>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</si>
  <si>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</si>
  <si>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</si>
  <si>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</si>
  <si>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</si>
  <si>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</si>
  <si>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</si>
  <si>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</si>
  <si>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</si>
  <si>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</si>
  <si>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</si>
  <si>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</si>
  <si>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</si>
  <si>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</si>
  <si>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</si>
  <si>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</si>
  <si>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</si>
  <si>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</si>
  <si>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</si>
  <si>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</si>
  <si>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</si>
  <si>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</si>
  <si>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</si>
  <si>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</si>
  <si>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</si>
  <si>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</si>
  <si>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</si>
  <si>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</si>
  <si>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</si>
  <si>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</si>
  <si>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</si>
  <si>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</si>
  <si>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</si>
  <si>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</si>
  <si>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</si>
  <si>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</si>
  <si>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</si>
  <si>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</si>
  <si>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</si>
  <si>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</si>
  <si>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</si>
  <si>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</si>
  <si>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</si>
  <si>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</si>
  <si>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</si>
  <si>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</si>
  <si>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</si>
  <si>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</si>
  <si>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</si>
  <si>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</si>
  <si>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</si>
  <si>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</si>
  <si>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</si>
  <si>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</si>
  <si>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</si>
  <si>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</si>
  <si>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</si>
  <si>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</si>
  <si>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</si>
  <si>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</si>
  <si>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</si>
  <si>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</si>
  <si>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</si>
  <si>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</si>
  <si>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</si>
  <si>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</si>
  <si>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</si>
  <si>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</si>
  <si>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</si>
  <si>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</si>
  <si>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</si>
  <si>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</si>
  <si>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</si>
  <si>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</si>
  <si>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</si>
  <si>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</si>
  <si>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</si>
  <si>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</si>
  <si>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</si>
  <si>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</si>
  <si>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</si>
  <si>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</si>
  <si>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</si>
  <si>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</si>
  <si>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</si>
  <si>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</si>
  <si>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</si>
  <si>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</si>
  <si>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</si>
  <si>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</si>
  <si>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</si>
  <si>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</si>
  <si>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</si>
  <si>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</si>
  <si>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</si>
  <si>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</si>
  <si>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</si>
  <si>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</si>
  <si>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</si>
  <si>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</si>
  <si>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</si>
  <si>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</si>
  <si>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</si>
  <si>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</si>
  <si>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</si>
  <si>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</si>
  <si>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</si>
  <si>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</si>
  <si>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</si>
  <si>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</si>
  <si>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</si>
  <si>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</si>
  <si>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</si>
  <si>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</si>
  <si>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</si>
  <si>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</si>
  <si>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</si>
  <si>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</si>
  <si>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</si>
  <si>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</si>
  <si>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</si>
  <si>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</si>
  <si>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</si>
  <si>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</si>
  <si>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</si>
  <si>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</si>
  <si>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</si>
  <si>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</si>
  <si>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</si>
  <si>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</si>
  <si>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</si>
  <si>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</si>
  <si>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</si>
  <si>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</si>
  <si>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</si>
  <si>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</si>
  <si>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</si>
  <si>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</si>
  <si>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</si>
  <si>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</si>
  <si>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</si>
  <si>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</si>
  <si>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</si>
  <si>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</si>
  <si>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</si>
  <si>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</si>
  <si>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</si>
  <si>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</si>
  <si>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</si>
  <si>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</si>
  <si>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</si>
  <si>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</si>
  <si>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</si>
  <si>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</si>
  <si>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</si>
  <si>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</si>
  <si>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</si>
  <si>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</si>
  <si>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</si>
  <si>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</si>
  <si>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</si>
  <si>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</si>
  <si>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</si>
  <si>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</si>
  <si>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</si>
  <si>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</si>
  <si>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</si>
  <si>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</si>
  <si>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</si>
  <si>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</si>
  <si>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</si>
  <si>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</si>
  <si>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</si>
  <si>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</si>
  <si>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</si>
  <si>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</si>
  <si>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</si>
  <si>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</si>
  <si>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</si>
  <si>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</si>
  <si>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</si>
  <si>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</si>
  <si>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</si>
  <si>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</si>
  <si>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</si>
  <si>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</si>
  <si>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</si>
  <si>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</si>
  <si>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</si>
  <si>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</si>
  <si>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</si>
  <si>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</si>
  <si>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</si>
  <si>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</si>
  <si>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</si>
  <si>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</si>
  <si>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</si>
  <si>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</si>
  <si>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</si>
  <si>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</si>
  <si>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</si>
  <si>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</si>
  <si>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</si>
  <si>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</si>
  <si>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</si>
  <si>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</si>
  <si>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</si>
  <si>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</si>
  <si>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</si>
  <si>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</si>
  <si>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</si>
  <si>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</si>
  <si>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</si>
  <si>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</si>
  <si>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</si>
  <si>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</si>
  <si>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</si>
  <si>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</si>
  <si>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</si>
  <si>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</si>
  <si>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</si>
  <si>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</si>
  <si>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</si>
  <si>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</si>
  <si>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</si>
  <si>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</si>
  <si>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</si>
  <si>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</si>
  <si>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</si>
  <si>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</si>
  <si>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</si>
  <si>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</si>
  <si>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</si>
  <si>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</si>
  <si>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</si>
  <si>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</si>
  <si>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</si>
  <si>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</si>
  <si>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</si>
  <si>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</si>
  <si>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</si>
  <si>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</si>
  <si>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</si>
  <si>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</si>
  <si>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</si>
  <si>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</si>
  <si>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</si>
  <si>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</si>
  <si>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</si>
  <si>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</si>
  <si>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</si>
  <si>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</si>
  <si>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</si>
  <si>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</si>
  <si>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</si>
  <si>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</si>
  <si>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</si>
  <si>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</si>
  <si>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</si>
  <si>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</si>
  <si>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</si>
  <si>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</si>
  <si>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</si>
  <si>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</si>
  <si>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</si>
  <si>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</si>
  <si>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</si>
  <si>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</si>
  <si>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</si>
  <si>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</si>
  <si>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</si>
  <si>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</si>
  <si>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</si>
  <si>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</si>
  <si>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</si>
  <si>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</si>
  <si>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</si>
  <si>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</si>
  <si>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</si>
  <si>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</si>
  <si>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</si>
  <si>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</si>
  <si>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</si>
  <si>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</si>
  <si>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</si>
  <si>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</si>
  <si>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</si>
  <si>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</si>
  <si>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</si>
  <si>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ERNANDO JOSE DAVID TORRES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</si>
  <si>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</si>
  <si>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</si>
  <si>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</si>
  <si>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</si>
  <si>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</si>
  <si>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</si>
  <si>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</si>
  <si>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</si>
  <si>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</si>
  <si>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</si>
  <si>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</si>
  <si>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</si>
  <si>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</si>
  <si>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</si>
  <si>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</si>
  <si>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</si>
  <si>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</si>
  <si>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</si>
  <si>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</si>
  <si>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</si>
  <si>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</si>
  <si>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</si>
  <si>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</si>
  <si>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</si>
  <si>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</si>
  <si>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</si>
  <si>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</si>
  <si>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</si>
  <si>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</si>
  <si>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</si>
  <si>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</si>
  <si>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</si>
  <si>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</si>
  <si>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</si>
  <si>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</si>
  <si>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</si>
  <si>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</si>
  <si>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</si>
  <si>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</si>
  <si>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</si>
  <si>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</si>
  <si>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</si>
  <si>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</si>
  <si>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</si>
  <si>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</si>
  <si>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</si>
  <si>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</si>
  <si>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</si>
  <si>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</si>
  <si>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</si>
  <si>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</si>
  <si>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</si>
  <si>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</si>
  <si>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</si>
  <si>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</si>
  <si>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</si>
  <si>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</si>
  <si>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</si>
  <si>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</si>
  <si>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</si>
  <si>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</si>
  <si>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</si>
  <si>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</si>
  <si>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</si>
  <si>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</si>
  <si>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</si>
  <si>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</si>
  <si>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</si>
  <si>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</si>
  <si>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</si>
  <si>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</si>
  <si>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</si>
  <si>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</si>
  <si>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</si>
  <si>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</si>
  <si>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</si>
  <si>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</si>
  <si>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</si>
  <si>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</si>
  <si>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</si>
  <si>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</si>
  <si>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</si>
  <si>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</si>
  <si>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</si>
  <si>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</si>
  <si>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</si>
  <si>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</si>
  <si>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</si>
  <si>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</si>
  <si>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</si>
  <si>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</si>
  <si>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</si>
  <si>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</si>
  <si>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</si>
  <si>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</si>
  <si>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</si>
  <si>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</si>
  <si>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</si>
  <si>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</si>
  <si>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</si>
  <si>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</si>
  <si>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</si>
  <si>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</si>
  <si>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</si>
  <si>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</si>
  <si>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</si>
  <si>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</si>
  <si>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</si>
  <si>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</si>
  <si>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</si>
  <si>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</si>
  <si>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</si>
  <si>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</si>
  <si>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</si>
  <si>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</si>
  <si>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</si>
  <si>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</si>
  <si>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</si>
  <si>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</si>
  <si>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</si>
  <si>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</si>
  <si>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</si>
  <si>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</si>
  <si>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</si>
  <si>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</si>
  <si>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</si>
  <si>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</si>
  <si>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</si>
  <si>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</si>
  <si>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</si>
  <si>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</si>
  <si>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</si>
  <si>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</si>
  <si>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</si>
  <si>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</si>
  <si>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</si>
  <si>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</si>
  <si>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</si>
  <si>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</si>
  <si>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</si>
  <si>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</si>
  <si>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</si>
  <si>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</si>
  <si>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</si>
  <si>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</si>
  <si>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</si>
  <si>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</si>
  <si>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</si>
  <si>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</si>
  <si>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</si>
  <si>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</si>
  <si>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</si>
  <si>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</si>
  <si>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</si>
  <si>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</si>
  <si>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</si>
  <si>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</si>
  <si>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</si>
  <si>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</si>
  <si>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</si>
  <si>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</si>
  <si>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</si>
  <si>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</si>
  <si>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</si>
  <si>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</si>
  <si>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</si>
  <si>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</si>
  <si>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</si>
  <si>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</si>
  <si>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</si>
  <si>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</si>
  <si>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</si>
  <si>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</si>
  <si>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</si>
  <si>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S.A</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</si>
  <si>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</si>
  <si>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</si>
  <si>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</si>
  <si>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</si>
  <si>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</si>
  <si>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</si>
  <si>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</si>
  <si>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</si>
  <si>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</si>
  <si>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</si>
  <si>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</si>
  <si>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</si>
  <si>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</si>
  <si>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</si>
  <si>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</si>
  <si>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</si>
  <si>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</si>
  <si>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</si>
  <si>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</si>
  <si>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</si>
  <si>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</si>
  <si>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</si>
  <si>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</si>
  <si>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</si>
  <si>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</si>
  <si>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</si>
  <si>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</si>
  <si>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</si>
  <si>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</si>
  <si>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</si>
  <si>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</si>
  <si>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</si>
  <si>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</si>
  <si>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</si>
  <si>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</si>
  <si>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</si>
  <si>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</si>
  <si>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</si>
  <si>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</si>
  <si>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</si>
  <si>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</si>
  <si>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</si>
  <si>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</si>
  <si>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</si>
  <si>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</si>
  <si>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</si>
  <si>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</si>
  <si>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</si>
  <si>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</si>
  <si>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</si>
  <si>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</si>
  <si>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</si>
  <si>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</si>
  <si>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</si>
  <si>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</si>
  <si>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</si>
  <si>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</si>
  <si>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</si>
  <si>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</si>
  <si>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</si>
  <si>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</si>
  <si>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</si>
  <si>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</si>
  <si>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</si>
  <si>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</si>
  <si>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</si>
  <si>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</si>
  <si>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</si>
  <si>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</si>
  <si>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</si>
  <si>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</si>
  <si>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</si>
  <si>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</si>
  <si>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</si>
  <si>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</si>
  <si>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</si>
  <si>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</si>
  <si>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</si>
  <si>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</si>
  <si>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</si>
  <si>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</si>
  <si>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</si>
  <si>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</si>
  <si>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</si>
  <si>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</si>
  <si>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</si>
  <si>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</si>
  <si>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</si>
  <si>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</si>
  <si>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</si>
  <si>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</si>
  <si>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</si>
  <si>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</si>
  <si>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</si>
  <si>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</si>
  <si>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</si>
  <si>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</si>
  <si>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</si>
  <si>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</si>
  <si>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PRESTAR SERVICIOS PROFESIONALES EN LA SDEEEP PARA EL ACOMPAÑAMIENTO EN EL DISEÑO, IMPLEMENTACIÓN Y GESTIÓN DE SISTEMAS PARA PROCESAR Y ANALIZAR DATOS REPORTADOS POR LAS CAJAS DE COMPENSACIÓN FAMILIAR. (ID: SDEEEP-253).</t>
  </si>
  <si>
    <t>ADQUIRIR SERVICIOS DE CENTRO DE CONTACTO BPO [BUSINESS PROCESS OUTSOURCING] PARA FORTALECER EL RELACIONAMIENTO CON LA CIUDADANÍA A TRAVÉS DE LOS CANALES DE ATENCIÓN DISPUESTOS POR LA SUPERINTENDENCIA DEL SUBSIDIO FAMILIAR. (ID: OPU-119)</t>
  </si>
  <si>
    <t>PRESTAR SERVICIOS DE APOYO A LA GESTIÓN A LA OFICINA ASESORA DE PLANEACIÓN EN ACTIVIDADES EN MATERIA PRECONTRACTUAL, GESTIÓN INSTITUCIONAL Y APOYO A LAS DIFERENTES ACTIVIDADES PROPIAS DEL ÁREA. (ID: OAP-322).</t>
  </si>
  <si>
    <t>(ID: SDEEEP-255). PRESTAR SERVICIOS PROFESIONALES A LA SDEEEP PARA APOYAR LA IMPLEMENTACIÓN, MANTENIMIENTO Y MEJORA DE LA NORMA TÉCNICA DE CALIDAD DEL PROCESO ESTADÍSTICO.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</si>
  <si>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</si>
  <si>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</si>
  <si>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PRESTAR SERVICIOS PROFESIONALES A LA SECRETARIA GENERAL PARA APOYAR LOS ASUNTOS JURÍDICOS Y PROCEDIMIENTOS A CARGO DEL ÁREA. (ID: SG-084)</t>
  </si>
  <si>
    <t>PRESTAR SERVICIOS PROFESIONALES A LA SDEEEP PARA APOYO Y SEGUIMIENTO DE LOS PLANES, PROGRAMAS Y PROYECTOS DE INVERSIÓN PARA OBRAS O SERVICIOS SOCIALES PRESENTADOS A TRAVÉS DEL BANCO DE PROYECTOS DE INVERSIÓN DEL SUBSIDIO FAMILIAR. (ID: SDEEEP-245).</t>
  </si>
  <si>
    <t>PRESTAR SERVICIOS PROFESIONALES DE APOYO Y ACOMPAÑAMIENTO EN PROCESOS DE CONTRATACIÓN Y CONSULTAS JURÍDICAS RELACIONADAS CON PROYECTOS DE LA OFICINA TIC. (ID: OTIC-223).</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</si>
  <si>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</si>
  <si>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</si>
  <si>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PRESTAR SERVICIOS PROFESIONALES A LA SDEEEP PARA APOYAR LA CREACIÓN DE INTERFACES, DISEÑO DE PRODUCTOS O DISEÑO GRAFICO EN LA IMPLEMENTACIÓN DEL LABORATORIO DE INNOVACIÓN DEL SISTEMA DEL SUBSIDIO FAMILIAR. (ID: SDEEEP-261)</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</si>
  <si>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</si>
  <si>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</si>
  <si>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</si>
  <si>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</si>
  <si>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</si>
  <si>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</si>
  <si>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</si>
  <si>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PRESTAR SERVICIOS PROFESIONALES PARA APOYAR EN LOS PROCESOS JURÍDICOS, PRECONTRACTUALES, CONTRACTUALES Y POSCONTRACTUALES DEL GRUPO DE GESTIÓN ADMINISTRATIVA DE LA SECRETARIA GENERAL DE LA SUPERINTENDENCIA DEL SUBSIDIO FAMILIAR. (ID: GGA-015).</t>
  </si>
  <si>
    <t>PRESTAR SERVICIOS EN LA EJECUCIÓN DE LOS PROGRAMAS DE FORMACIÓN Y CAPACITACIÓN INSTITUCIONAL (PIFC) Y EL PLAN DE GESTION AMBIENTAL EN EL MARCO DE MIPG, PARA LOS SERVIDORES PÚBLICOS DE LA SUPERINTENDENCIA DEL SUBSIDIO FAMILIAR (ID: GGTH-173)</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</si>
  <si>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</si>
  <si>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</si>
  <si>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PRESTAR SERVICIOS PROFESIONALES PARA REALIZAR EL ACOMPAÑAMIENTO EN LOS PROCESOS JURÍDICOS Y CONTRACTUALES DE LA SECRETARÍA GENERAL. (ID: SG-086).</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</si>
  <si>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</si>
  <si>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</si>
  <si>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</si>
  <si>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PRESTAR LOS SERVICIOS PROFESIONALES PARA APOYAR EL DESARROLLO DE LA ACTIVIDAD DEL PROYECTO DE INVERSIÓN A CARGO DE LA OFICINA ASESORA JURÍDICA, ASÍ COMO LA GESTIÓN DE COBRO COACTIVO A CARGO DE LA SUPERINTENDENCIA DEL SUBSIDIO FAMILIAR. (ID: OAJ-135-1)</t>
  </si>
  <si>
    <t>(ID: OAJ-316) PRESTAR LOS SERVICIOS PROFESIONALES PARA A LA OFICINA ASESORA JURIDICA EN LO CORRESPONDIENTE ACCIONES JUDICIALES.</t>
  </si>
  <si>
    <t>PRESTAR SERVICIOS PROFESIONALES PARA BRINDAR APOYO AL GRUPO DE GESTIÓN DEL TALENTO HUMANO EN LAS ACTIVIDADES PROPIAS AL SEGUIMIENTO Y REALIZACIÓN DE LOS REPORTES RELACIONADOS CON LOS PLANES INSTITUCIONALES (ID: GGTH-155)</t>
  </si>
  <si>
    <t>(ID: GGTH-157) PRESTAR SERVICIOS DE APOYO A LA GESTION CON EL FIN DE DESARROLLAR ACTIVIDADES DE GESTIÓN DOCUMENTAL EN LA CONSOLIDACION DEL ARCHIVO DE HISTORIAS LABORALES A CARGO DEL GRUPO DE GESTIÓN DEL TALENTO HUMANO.</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</si>
  <si>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</si>
  <si>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PRESTAR SERVICIOS PROFESIONALES PARA APOYAR LOS PROCESOS EDUCACIÓN INFORMAL A LOS GRUPOS DE VALOR Y DE INTERES DE LA SUPERINTENDENCIA DEL SUBSIDIO FAMILIAR PARA FORTALECER EL RELACIONAMIENTO CON LA CIUDADANÍA. ID: OPU-118</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</si>
  <si>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</si>
  <si>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PRESTAR SERVICIOS PROFESIONALES COMO DESARROLLADOR PARA EL PROCESO DE AUTOMATIZACIONES DE LA PLATAFORMA DE GESTIÓN INSTITUCIONAL - ID-OTIC-225</t>
  </si>
  <si>
    <t>PRESTAR SERVICIOS PROFESIONALES DE ACOMPAÑAMIENTO EN EL DISEÑO DE INTERFAZ Y EXPERIENCIA DE USUARIO [UI/UX] PARA LAS APLICACIONES DIGITALES Y SISTEMAS DE INFORMACIÓN DE LA SUPERINTENDENCIA DEL SUBSIDIO FAMILIAR. (ID: OPU-122)</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</si>
  <si>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</si>
  <si>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</si>
  <si>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</si>
  <si>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</si>
  <si>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</si>
  <si>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</si>
  <si>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</si>
  <si>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</si>
  <si>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PRESTAR SERVICIOS PROFESIONALES A LA SDEEEP PARA APOYAR EL DISEÑO DE PROCESOS DE INNOVACIÓN, CONSTRUCCIÓN DE SISTEMAS DE INNOVACIÓN Y GENERACIÓN DE METODOLOGÍAS. (ID: SDEEEP-260)</t>
  </si>
  <si>
    <t>PRESTAR SERVICIOS PROFESIONALES JURIDICOS Y DE NOMINA EN EL GRUPO DE GESTIÓN DEL TALENTO HUMANO DE LA SUPERINTENDENCIA DEL SUBSIDIO FAMILIAR. (ID: GGTH-341)</t>
  </si>
  <si>
    <t>PRESTAR LOS SERVICIOS PROFESIONALES PARA APOYAR LAS ACTIVIDADES RELACIONADAS CON LA IVC DE LOS FONDOS DE LEY Y LOS PROYECTOS DE INVERSIÓN EJECUTADOS POR LAS CAJAS DE COMPENSACIÓN FAMILIAR. (ID: SDG-291-1)</t>
  </si>
  <si>
    <t>PRESTAR SERVICIOS DE APOYO A LA GESTIÓN PARA EL SOPORTE DE SERVICIOS DE TI RELACIONADOS CON PERIFÉRICOS, HERRAMIENTAS DE OFIMÁTICA Y COMPONENTES TECNOLÓGICOS EN LA SUPERINTENDENCIA DEL SUBSIDIO FAMILIAR. (ID: OTIC-197)</t>
  </si>
  <si>
    <t>PRESTAR SERVICIOS DE APOYO A LA GESTIÓN EN LA NOMINA DE LA SUPERINTENDENCIA DEL SUBSIDIO FAMILIAR. (ID: GGTH-340).</t>
  </si>
  <si>
    <t>(ID: SDEEEP-256). PRESTAR SERVICIOS PROFESIONALES A LA SDEEEP APOYANDO LA GESTIÓN, ANÁLISIS Y TRANSFORMACIÓN DE LOS DATOS REPORTADOS POR LAS CAJAS DE COMPENSACIÓN FAMILIAR.</t>
  </si>
  <si>
    <t>PRESTAR SERVICIOS PROFESIONALES PARA APOYAR AL GRUPO DE GESTIÓN DEL TALENTO HUMANO EN EL DESARROLLO DE LAS ACTIVIDADES DEL SG-SST. (ID: GGTH-167).</t>
  </si>
  <si>
    <t>PRESTAR EL SERVICIO DE MANTENIMIENTO PREVENTIVO Y CORRECTIVO PARA EL VEHICULO KIA RIO UB EX DE LA SUPERINTENDENCIA DE SUBSIDIO FAMILIAR. (ID: GGA-006)</t>
  </si>
  <si>
    <t>PRESTAR SERVICIOS PROFESIONALES PARA BRINDAR APOYO EN EL PROCESO DE GESTIÓN DE COBRO COACTIVO ADELANTADO POR PARTE DE LA OAJ, AL IGUAL QUE COLABORAR CON LAS ACCIONES JUDICIALES QUE REQUIERA LA SUPERSUBSIDIO (ID: OAJ-336)</t>
  </si>
  <si>
    <t>PRESTAR SERVICIOS PROFESIONALES PARA APOYAR LA GESTIÓN DE LOS DIFERENTES ELEMENTOS DE INFRAESTRUCTURA TECNOLÓGICA DE LA SUPERINTENDENCIA DEL SUBSIDIO FAMILIAR. (ID: OTIC-179-1)</t>
  </si>
  <si>
    <t>PRESTAR SERVICIOS PROFESIONALES PARA EL APOYO EN LA PLANEACIÓN, SEGUIMIENTO Y CONTROL DE LOS PROYECTOS DE DESARROLLO DE LOS SISTEMAS DE INFORMACIÓN DE LA SUPERINTENDENCIA DEL SUBSIDIO FAMILIAR. (ID: OTIC-175-1)</t>
  </si>
  <si>
    <t>PRESTAR SERVICIOS PROFESIONALES PARA ACOMPAÑAR LAS ACTIVIDADES DE IDENTIFICACIÓN E IMPLEMENTACIÓN DE MEJORAS DE PROCESOS Y CAPACIDADES INSTITUCIONALES DE LA ENTIDAD CON BASE EN EL MARCO DE LA ARQUITECTURA EMPRESARIAL. (ID: OAP-097)</t>
  </si>
  <si>
    <t>(ID: SDG-282-1) PRESTAR SERVICIOS PROFESIONALES PARA APOYAR EL SEGUIMIENTO A LAS CAJAS DE COMPENSACIÓN FAMILIAR, EN EL PROCESO DE IVC.</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</si>
  <si>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</si>
  <si>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PRESTAR LOS SERVICIOS PROFESIONALES EN EL ACOMPAÑAMIENTO DE ASUNTOS JURÍDICOS PARA REALIZAR VALIDACIONES DE LA INFORMACIÓN DE LOS SERVICIOS, PROGRAMAS SOCIALES Y OPERACIONES QUE PRESTAN LAS CAJAS DE COMPENSACIÓN. (ID: SDG-274-1)</t>
  </si>
  <si>
    <t>(ID: GGTH-169) ADQUIRIR UN SOFTWARE DE NÓMINA PARA LA
SUPERINTENDENCIA DEL SUBSIDIO FAMILIAR.</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</si>
  <si>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</si>
  <si>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PRESTAR SERVICIOS PROFESIONALES PARA APOYAR EL DISEÑO DE LOS PRODUCTOS COMUNICATIVOS INSTITUCIONALES Y LA ANIMACIÓN DE PIEZAS AUDIOVISUALES Y DIDÁCTICAS DE LA SUPERINTENDENCIA DEL SUBSIDIO FAMILIAR. (ID: COM-145)</t>
  </si>
  <si>
    <t>PRESTAR SERVICIOS PROFESIONALES PARA APOYAR LAS ACTIVIDADES DE GOBIERNO DEL SISTEMA DE INFORMACIÓN - SIMON DE LA SUPERINTENDENCIA DEL SUBSIDIO FAMILIAR.ID: (OTIC-192-1)</t>
  </si>
  <si>
    <t>PRESTAR LOS SERVICIOS PROFESIONALES PARA APOYAR EL DESARROLLO DE LA ACTIVIDAD DEL PROYECTO DE INVERSIÓN DE IVC A CARGO DE LA OFICINA ASESORA JURÍDICA, ASÍ COMO CON LA EJECUCIÓN DE LAS ACTIVIDADES JURIDICAS PROPIAS DEL ÁREA. (ID: OAJ-136-1)</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</si>
  <si>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</si>
  <si>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</si>
  <si>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</si>
  <si>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</si>
  <si>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PRESTAR SERVICIOS PROFESIONALES AL DESPACHO DEL SUPERINTENDENTE DEL SUBSIDIO FAMILIAR PARA APOYAR LAS ACTIVIDADES DE RECEPCIÓN, ANÁLISIS Y GESTIÓN DE DENUNCIAS POR ACTOS O RIESGOS DE CORRUPCIÓN. (ID: DES-047)</t>
  </si>
  <si>
    <t>PRESTAR LOS SERVICIOS PROFESIONALES PARA APOYAR LAS ACTIVIDADES JURÍDICAS EN EL PROCESO DE IVC QUE SE REALIZA A LAS CAJAS DE COMPENSACIÓN FAMILIAR DE ACUERDO A LAS COMPETENCIAS DE LA SUPERINTENDENCIA DELEGADA PARA LA GESTIÓN. (ID: SDG-267)</t>
  </si>
  <si>
    <t>PRESTAR SERVICIOS PROFESIONALES PARA APOYAR EL FORTALECIMIENTO DEL DESARROLLO DEL SISTEMA INTEGRADO DE ALERTAS TEMPRANAS EN LA SUPERINTENDENCIA DELEGADA PARA LA GESTIÓN, COMO HERRAMIENTA DE MODERNIZACIÓN DE LA IVC DE LA SUPERSUBSIDIO. (ID: SDG-301-1)</t>
  </si>
  <si>
    <t>PRESTAR LOS SERVICIOS PROFESIONALES PARA APOYAR LAS ACTIVIDADES LEGALES DE IVC DE LOS SERVICIOS, PROGRAMAS SOCIALES Y OPERACIONES QUE PRESTAN LAS CAJAS DE COMPENSACIÓN FAMILIAR. (ID: SDG-269)</t>
  </si>
  <si>
    <t>PRESTAR LOS SERVICIOS PROFESIONALES APOYANDO AL GRUPO DE GESTIÓN FINANCIERA EN LA REALIZACIÓN DE TRANSACCIONES EN EL SIIF NACIÓN Y LA CONCILIACIÓN DE INFORMACIÓN EN LOS DIFERENTES PERFILES QUE REQUIERA EL GRUPO. (ID: GGF-133)</t>
  </si>
  <si>
    <t>MARIA MONICA PORTACIO MARTINEZ</t>
  </si>
  <si>
    <t>WISTON JUNIOR LOPEZ NEGRETE</t>
  </si>
  <si>
    <t>OUTSOURCING SERVICIOS INFORMATICOS SAS BIC_x000D_</t>
  </si>
  <si>
    <t>LUZ HELENA LATORRE CUENCA</t>
  </si>
  <si>
    <t xml:space="preserve"> FRANCY MILENA MARTINEZ BASTO</t>
  </si>
  <si>
    <t>JUAN PABLO CAMACHO TORRES</t>
  </si>
  <si>
    <t>NELSON PLAZAS BETANCOURT</t>
  </si>
  <si>
    <t>MIRTA SANTAMARIA FAJARDO</t>
  </si>
  <si>
    <t>JUAN CAMILO VASQUEZ INFANTE</t>
  </si>
  <si>
    <t>DORIS CORTES GONZALEZ</t>
  </si>
  <si>
    <t>JOHAN MANUEL DAVILA HURTADO</t>
  </si>
  <si>
    <t>HEYSELL NAFASHA GARCIA AGUILAR</t>
  </si>
  <si>
    <t>BAHAMON ASESORES ASOCIADOS SAS</t>
  </si>
  <si>
    <t>JONATHAN LEONARDO GOMEZ CARDENAS</t>
  </si>
  <si>
    <t xml:space="preserve">LINDAY SASCHENKA BAHAMON </t>
  </si>
  <si>
    <t>LIZBETH GINEIDY CALDERON MIÑOZ</t>
  </si>
  <si>
    <t>NELLY QUINTANAJEREZ</t>
  </si>
  <si>
    <t>SANTAGO RESTREPO BAHAMON</t>
  </si>
  <si>
    <t>MIGUEL ANDERSON PUENTES</t>
  </si>
  <si>
    <t>MONICA ANDREA RAMIREZ ROMERO</t>
  </si>
  <si>
    <t>UNIVERSIDAD DISTRITAL DE COLOMBIA</t>
  </si>
  <si>
    <t xml:space="preserve">FREDY ORLANDO RODRIGUEZ JIMENEZ </t>
  </si>
  <si>
    <t>CLAUDIA PAOLA RIVERA MIÑOZ</t>
  </si>
  <si>
    <t>INGRID BIBIANA GARZON ROJAS</t>
  </si>
  <si>
    <t>CARLOS MARIO QUINTERO LOPEZ</t>
  </si>
  <si>
    <t xml:space="preserve">KAREN YULIETH BOHORQUEZ NIETO </t>
  </si>
  <si>
    <t>JORGE FELIPE ESCOBAR CASSIANI</t>
  </si>
  <si>
    <t>DIANA MILENA LOPEZ LOPEZ</t>
  </si>
  <si>
    <t>DANNY ALEXANDER GONZALEZ</t>
  </si>
  <si>
    <t xml:space="preserve">SILVIA CAMARO VELAZCO </t>
  </si>
  <si>
    <t>MICHAEL ANGEL SANCHEZ</t>
  </si>
  <si>
    <t>MARIA VICTORIA ROMERO SANCHEZ</t>
  </si>
  <si>
    <t>LUIS FERNANDO ROJAS TELLEZ</t>
  </si>
  <si>
    <t>CARLOS ARTURO JUNIOR RINCON AVILAN</t>
  </si>
  <si>
    <t>HENRY STEVEN GARZON CHIMBI</t>
  </si>
  <si>
    <t>RODRIGO ALFONSO ARIZA ORTIZ</t>
  </si>
  <si>
    <t>GABRIELA LARA CATÓLICO</t>
  </si>
  <si>
    <t>JUAN DAVID ESPITIA MORENO</t>
  </si>
  <si>
    <t>PEDRO LEONARDO PUMAREJO ROMERO</t>
  </si>
  <si>
    <t>CAMILO ENRIQUE AYALA RAMIREZ</t>
  </si>
  <si>
    <t>JUAN DAVID NIÑO</t>
  </si>
  <si>
    <t>LUCIA HERNANDEZ LAGOS</t>
  </si>
  <si>
    <t>DIEGO ANDRES MUNAR BACA</t>
  </si>
  <si>
    <t>MAURICIO ANDRES LOPEZ LOPEZ</t>
  </si>
  <si>
    <t>CAROL VANESSA AGUILAR BARRERA</t>
  </si>
  <si>
    <t>LUIS CARLOS CALIXTO RODRIGUEZ</t>
  </si>
  <si>
    <t>GENNY LIZZETH PAZ MOTTA</t>
  </si>
  <si>
    <t>CONTINENTAL DE PARTES Y SERVICIOS SAS</t>
  </si>
  <si>
    <t>MARIA ISABEL SALAZAR</t>
  </si>
  <si>
    <t>DIEGO ANDRES CABRERA MERCHAN</t>
  </si>
  <si>
    <t>MARIO FERNANDO GOMEZ OTALORA</t>
  </si>
  <si>
    <t>Novasoft SAS</t>
  </si>
  <si>
    <t>OLGA MILENA CARANTONIO MARQUEZ</t>
  </si>
  <si>
    <t xml:space="preserve"> DIANA VALENTINA GUZMAN DORADO</t>
  </si>
  <si>
    <t>JOSE JAIME ROYS TIRADO</t>
  </si>
  <si>
    <t>ANA MARIA TORRES CASTRO</t>
  </si>
  <si>
    <t>LURAMY VERONICA RAMIREZ</t>
  </si>
  <si>
    <t>YORGELIS MARIA SALAS OSPINO</t>
  </si>
  <si>
    <t>ALVARO JAVIER MOLINA DIAZ</t>
  </si>
  <si>
    <t>HENRRY DE JESUS RODRIGUEZ MARTINEZ</t>
  </si>
  <si>
    <t>JORGE NAIN RUIZ DITTA</t>
  </si>
  <si>
    <t xml:space="preserve"> VERONICA DURANA ANGEL</t>
  </si>
  <si>
    <t>PAULA VIVIANA SALINAS PAEZ</t>
  </si>
  <si>
    <t>CIRO ANDRES CAMPO CRUZ</t>
  </si>
  <si>
    <t>6 Pagos</t>
  </si>
  <si>
    <t>PRESTAR SERVICIOS PROFESIONALES PARA APOYAR LA GESTIÓN EN LA PLANEACIÓN, SEGUIMIENTO Y CONTROL DE LOS PROYECTOS ESTRATÉGICOS DE TECNOLOGÍA DE LA SUPERINTENDENCIA DEL SUBSIDIO FAMILIAR. (ID: OTIC-227-1)</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</si>
  <si>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</si>
  <si>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</si>
  <si>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SAMIA ISABEL JALAL LOPEZ</t>
  </si>
  <si>
    <t>PRESTAR SERVICIOS DE APOYO A LA GESTIÓN PARA LA ATENCIÓN DE INCIDENTES Y EVENTOS DEL SISTEMA DE INFORMACIÓN SIMON DE LA SUPERINTENDENCIA DEL SUBSIDIO FAMILIAR. (ID: OTIC-200-1).</t>
  </si>
  <si>
    <t>PRESTAR SERVICIOS DE APOYO A LA GESTIÓN PARA LA ATENCIÓN DE INCIDENTES Y EVENTOS DEL SISTEMA DE INFORMACIÓN SIMON DE LA SUPERINTENDENCIA DEL SUBSIDIO FAMILIAR. (ID: OTIC-193-1).</t>
  </si>
  <si>
    <t>GRUPO TIEDOT SAS</t>
  </si>
  <si>
    <t>Contratar la prestación del servicio de depósito, almacenamiento, custodia, conservación y préstamo del archivo de la superintendencia del subsidio familiar, incluido su transporte y consulta en caso de ser necesario.</t>
  </si>
  <si>
    <t>427-2022</t>
  </si>
  <si>
    <t>408-2022</t>
  </si>
  <si>
    <t>MENSAJERIA 472</t>
  </si>
  <si>
    <t>Prestar el servicio de correo urbano, nacional e internacional para la Superintendencia del Subsidio Familiar.</t>
  </si>
  <si>
    <t>PRESTAR SERVICIOS PROFESIONALES PARA APOYAR LA GESTIÓN DE LA INFRAESTRUCTURA TECNOLÓGICA DE LA ENTIDAD DISPUESTA EN NUBE PÚBLICA Y EN PRIVADA DE LA SUPERINTENDENCIA DEL SUBSIDIO FAMILIAR. (ID: OTIC-178-1).</t>
  </si>
  <si>
    <t>PRESTAR SERVICIOS DE APOYO A LA GESTIÓN DEL GRUPO DE GESTIÓN DEL TALENTO HUMANO EN LAS ACTIVIDADES SECRETARIALES Y DE FORTALECIMIENTO A LA GESTION DOCUMENTAL DE CONFORMIDAD CON LA NORMATIVIDAD VIGENTE (ID: TH 156).</t>
  </si>
  <si>
    <t>PRESTAR SERVICIOS PROFESIONALES PARA BRINDAR ACOMPAÑAMIENTO METODOLÓGICO EN LAS ACTIVIDADES RELACIONADAS CON EL COMPONENTE DE PARTICIPACIÓN CIUDADANA LIDERADOS POR LA OFICINA ASESORA DE PLANEACIÓN DE LA SUPERINTENDENCIA DEL SUBSIDIO FAMILIAR. (ID: OAP-218)</t>
  </si>
  <si>
    <t>(ID: SG-306) PRESTAR SERVICIOS PROFESIONALES PARA APOYAR LOS ASUNTOS DISCIPLINARIOS, ASÍ COMO PROYECCIÓN DE ACTOS ADMINISTRATIVOS Y OTROS A CARGO DEL GRUPO DE CONTROL DISCIPLINARIO INTERNO DE LA SUPERINTENDENCIA DEL SUBSIDIO FAMILIAR.</t>
  </si>
  <si>
    <t>PRESTAR LOS SERVICIOS PROFESIONALES PARA ADELANTAR EL SEGUIMIENTO Y CONTROL DEL PROCESO GESTIÓN DE SISTEMAS DE INFORMACIÓN; EN EL MARCO DEL SISTEMA DE GESTIÓN DE CALIDAD DE LA ENTIDAD, Y DE LOS PROYECTOS DE USO Y APROPIACIÓN (ID: OTIC-202).</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</si>
  <si>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</si>
  <si>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PRESTAR LOS SERVICIOS PROFESIONALES PARA APOYAR LA ELABORACIÓN DE INDICADORES FINANCIEROS QUE PERMITAN MODERNIZAR LA GESTIÓN DE IVC POR PARTE DE LA SUPERINTENDENCIA DELEGADA PARA LA GESTIÓN. (ID:SDG-298)</t>
  </si>
  <si>
    <t>PRESTAR EL SERVICIO DE RENOVACIÓN DE LICENCIAS DE MICROSTRATEGY, EL SOPORTE EN SITIO PARA ACTUALIZACIÓN DE REPORTES Y TABLEROS DE CONTROL EN LA PLATAFORMA (ID 264)</t>
  </si>
  <si>
    <t>PRESTAR SERVICIOS PROFESIONALES PARA APOYAR LAS ACTIVIDADES DE PLANEACIÓN ESTRATÉGICA DE LA ARQUITECTURA DE SISTEMAS DE INFORMACIÓN DE LA ENTIDAD DE LA SUPERINTENDENCIA DEL SUBSIDIO FAMILIAR. (ID: OTIC-231-1).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</si>
  <si>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</si>
  <si>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</si>
  <si>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PRESTAR SERVICIOS PROFESIONALES PARA BRINDAR ACOMPAÑAMIENTO EN EL ANÁLISIS, MODELAMIENTO Y DESARROLLO DE SOLUCIONES ANALÍTICAS EN LA SUPERINTENDENCIA DEL SUBSIDIO FAMILIAR. (ID: OTIC-177-1)</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</si>
  <si>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</si>
  <si>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</si>
  <si>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</si>
  <si>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</si>
  <si>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</si>
  <si>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</si>
  <si>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</si>
  <si>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</si>
  <si>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</si>
  <si>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</si>
  <si>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</si>
  <si>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</si>
  <si>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</si>
  <si>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</si>
  <si>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</si>
  <si>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</si>
  <si>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</si>
  <si>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</si>
  <si>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</si>
  <si>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</si>
  <si>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NATHALY RODRIGUEZ PERAZA</t>
  </si>
  <si>
    <t>ALEXANDER QUINTERO TORRES</t>
  </si>
  <si>
    <t>MAURICIO JOSE HERNANDEZ OYOLA</t>
  </si>
  <si>
    <t>KIMBERLY LORENA PINZON RODRIGUEZ</t>
  </si>
  <si>
    <t>IVAN DARIO CELY BARAJAS</t>
  </si>
  <si>
    <t>BAYARDO BUSTOS LINARES</t>
  </si>
  <si>
    <t>LATINO BI CONSULTING S.A.S.</t>
  </si>
  <si>
    <t>NIDIA JOHANNA PRODIGO SARMIENTO</t>
  </si>
  <si>
    <t>JOSE IGNACIO CHARRIS SALAS</t>
  </si>
  <si>
    <t>HECTOR GARCIA GONZALEZ (TONER)</t>
  </si>
  <si>
    <t>EDWARD DAVID MENESES RAMOS</t>
  </si>
  <si>
    <t>MARTIN ANDRES BERNIER PELAEZ</t>
  </si>
  <si>
    <t>SOFIA ACOSTA VALLEJO</t>
  </si>
  <si>
    <t>YENNY MABEL SÁNCHEZ PUENTES</t>
  </si>
  <si>
    <t>JUAN SEBASTIAN MASMELA ZAPATA</t>
  </si>
  <si>
    <t>LINA JIMENA GARCIA MONROY</t>
  </si>
  <si>
    <t>DIDIER SNEIDER CUERVO GOMEZ</t>
  </si>
  <si>
    <t>CAMERFIRMA COLOMBIA SAS</t>
  </si>
  <si>
    <t>JENNY MILENA COLLAZOS CARO</t>
  </si>
  <si>
    <t>EDWIN JOHAN BEDOYA BULLA</t>
  </si>
  <si>
    <t>ANGEL LEONARDO MARTINEZ MARTINEZ</t>
  </si>
  <si>
    <t>ARLOS MANUEL ROMERO ROJAS</t>
  </si>
  <si>
    <t>JOSE ERNESTO LOZANO CRUZ</t>
  </si>
  <si>
    <t>DARLYS KATRIN CORREA CARDOZO</t>
  </si>
  <si>
    <t>JUAN SEBASTIAN GIRALDO BERMUDEZ</t>
  </si>
  <si>
    <t>JAIME TORRES BARRERA</t>
  </si>
  <si>
    <t>PRESTAR LOS SERVICIOS PROFESIONALES ESPECIALIZADOS PARA EL APOYO EN LA REVISIÓN DE LOS DIFERENTES TRAMITES PROPIOS DE LA GESTIÓN JURÍDICA Y TEMAS JURÍDICOS QUE REQUIERAN Y SE ORIGINEN DE LOS GRUPOS DE TRABAJO A CARGO DE LA SECRETARIA GENERAL (ID: SG-207)</t>
  </si>
  <si>
    <t>PRESTAR SERVICIOS PROFESIONALES PARA APOYAR JURÍDICAMENTE AL GRUPO DE GESTIÓN DE TALENTO HUMANO EN LA ESTRUCTURACIÓN, SEGUIMIENTO Y ANALISIS DE LOS PROCESOS CONTRACTUALES A CARGO DEL ÁREA, ASÍ COMO EN LA PROYECCIÓN DE ACTOS ADMINISTRATIVOS. (ID: GGTH-158).</t>
  </si>
  <si>
    <t>PRESTAR LOS SERVICIOS PROFESIONALES PARA APOYAR LA PROYECCIÓN DE ANÁLISIS Y ESTRATEGIAS FINANCIERAS CONTABLES EN EL PROCESO DE IVC DE LOS FONDOS DE LEY Y LOS PROYECTOS DE INVERSIÓN EJECUTADOS POR LAS CAJAS DE COMPENSACIÓN FAMILIAR. (ID: SDG-294)</t>
  </si>
  <si>
    <t xml:space="preserve">
NINI JOHANNA SANDOVAL JAIME</t>
  </si>
  <si>
    <t>PRESTAR SERVICIOS PROFESIONALES PARA APOYAR LA ACTUALIZACIÓN DE LOS PROCESOS Y PROCEDIMIENTOS A CARGO DEL GRUPO DE GESTIÓN DEL TALENTO HUMANO, ASI COMO BRINDAR APOYO JURÍDICO AL ÁREA (ID: GGTH-164).</t>
  </si>
  <si>
    <t>MAURICIO JAVIER CRIOLLO ROMERO</t>
  </si>
  <si>
    <t xml:space="preserve">PRESTAR LOS SERVICIOS PROFESIONALES EN EL ACOMPAÑAMIENTO FINANCIERO EN LA ESTRUCTURACIÓN Y DELIMITACIÓN DE INDICADORES EN EL MARCO DE LA MODERNIZACIÓN DE IVC DE LA SUPERINTENDENCIA DEL SUBSIDIO FAMILIAR. (ID: SDG-302)	</t>
  </si>
  <si>
    <t>COLSOF S.A.S</t>
  </si>
  <si>
    <t>JORGE MARIO AGUIRRE ERAZO</t>
  </si>
  <si>
    <t xml:space="preserve"> JAIRO DELGADO</t>
  </si>
  <si>
    <t>LUIS EDGARDO DURAN CARRILLO</t>
  </si>
  <si>
    <t>MARIA CAMILA SALAZAR AVILA</t>
  </si>
  <si>
    <t>MARCELA HAYDEE AGUILAR RODRIGUEZ</t>
  </si>
  <si>
    <t>JOSE DARIO PRIETO SIERRA</t>
  </si>
  <si>
    <t xml:space="preserve"> ANDRES EDUARDO ROLDAN MARTINEZ</t>
  </si>
  <si>
    <t>JOSE LEONARDO CARRILLO CORTES</t>
  </si>
  <si>
    <t>PEDRO ANTONIO LOPEZ GUTIERREZ</t>
  </si>
  <si>
    <t xml:space="preserve">DIEGO ARMANDO FAJARDO PINZON	</t>
  </si>
  <si>
    <t>DIEGO ALEXANDER BAGETT OSPINA</t>
  </si>
  <si>
    <t>EFRAIN DIAZ MEJIA</t>
  </si>
  <si>
    <t>JULIAN BERNARDO SALINAS DIAZ</t>
  </si>
  <si>
    <t>CONTROLES EMPRESARIALES SAS</t>
  </si>
  <si>
    <t>PAOLA PATRICIA LUNA ROSSO</t>
  </si>
  <si>
    <t>INTER GROUP LTDA</t>
  </si>
  <si>
    <t>CARMENCITA JEMIMA JALAL LOPEZ</t>
  </si>
  <si>
    <t>ALEJANDRO CASTELLANOS QUINTERO</t>
  </si>
  <si>
    <t>CARLOS MAURICIO MURILLO RODRIGUEZ</t>
  </si>
  <si>
    <t>MIGUEL ANGEL MEDINA CHICUAZUQUE</t>
  </si>
  <si>
    <t>CARMEN AYLET RUBIO TORRES</t>
  </si>
  <si>
    <t>JORDAN HESNEIDER ARDILA VARGAS</t>
  </si>
  <si>
    <t>ANDREA DEL PILAR ALVAREZ CAMARGO</t>
  </si>
  <si>
    <t>JUAN PABLO ESTUPIÑAN MORA</t>
  </si>
  <si>
    <t xml:space="preserve"> DANIEL QUINTERO RODRIGUEZ</t>
  </si>
  <si>
    <t xml:space="preserve"> JULIAN SILVA PUENTES</t>
  </si>
  <si>
    <t>RAFAEL ANDRES TOVAR MANJARRES</t>
  </si>
  <si>
    <t>JOSE DAVID HERNANDEZ MANRIQUE</t>
  </si>
  <si>
    <t>JHON MANUEL PARRA MORA</t>
  </si>
  <si>
    <t>ALBERTO EMILIO GUTIERREZ CHARRIS</t>
  </si>
  <si>
    <t>MERSI YULEBI SILVA GOMEZ</t>
  </si>
  <si>
    <t>SANDRA MILENA BERNAL SALAZAR</t>
  </si>
  <si>
    <t>PAOLA ANDREA GOMEZ DIAZ</t>
  </si>
  <si>
    <t>DIEGO ALEXANDER LOPEZ NARANJO</t>
  </si>
  <si>
    <t>VANESSA STHEFANNIA GOMEZ GOMEZ</t>
  </si>
  <si>
    <t>DAIRO DE JESUS AYALA MUÑOZ</t>
  </si>
  <si>
    <t>JOSUE DAVID SOTO MONTENEGRO</t>
  </si>
  <si>
    <t>ADRIANA KARINA ORTIZ YELA</t>
  </si>
  <si>
    <t xml:space="preserve"> FRANKILN MIGUEL TRIVIÑO	</t>
  </si>
  <si>
    <t xml:space="preserve"> JUAN MANUEL PACHON MORALES</t>
  </si>
  <si>
    <t>JAIRO AEXANDER BASANTE BURBANO</t>
  </si>
  <si>
    <t>RAUL ALBERTO RUIZ GARCIA</t>
  </si>
  <si>
    <t xml:space="preserve"> 9 0 1 4 2 8 1 9 6 </t>
  </si>
  <si>
    <t>PRESTAR SERVICIOS DE APOYO AL SOPORTE DE SERVICIOS TÉCNICOS DE TI EN LA SUPERINTENDENCIA DEL SUBSIDIO FAMILIAR. (ID: OTIC-349)</t>
  </si>
  <si>
    <t>OTIC.ID OTIC-212 ADQUIRIR LA RENOVACIÓN Y SOPORTE DEL HARDWARE Y HERRAMIENTAS TECNOLÓGICAS QUE SOPORTAN LA INFRAESTRUCTURA FÍSICA DE LA SUPERINTENDENCIA DEL SUBSIDIO FAMILIAR.</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</si>
  <si>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</si>
  <si>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PRESTAR LOS SERVICIOS PROFESIONALES PARA EL ACOMPAÑAMIENTO EN LA ESTRUCTURACIÓN DE PROCEDIMIENTOS INTERNOS QUE OPTIMICEN EL EJERCICIO DE IVC POR PARTE DE LA SUPERINTENDENCIA DELEGADA PARA LA GESTIÓN.ID: SDG-300</t>
  </si>
  <si>
    <t>PRESTAR SERVICIOS PROFESIONALES EN LA REALIZACIÓN Y REVISIÓN DE ASPECTOS FINANCIEROS, SOCIALES Y FONDOS DE LEY EN EL MARCO DE LA MODERNIZACIÓN DE IVC DE LA SUPERINTENDENCIA DEL SUBSIDIO FAMILIAR. (ID: SDG-339)</t>
  </si>
  <si>
    <t>PRESTAR SERVICIOS PROFESIONALES PARA APOYAR LA FORMULACIÓN Y EJECUCIÓN DE ESTRATEGIAS DIRIGIDAS A LA VERIFICACIÓN DE LINEAMIENTOS JURÍDICOS DE LOS SERVICIOS, PROGRAMAS SOCIALES Y OPERACIONES QUE REALIZAN LAS CAJAS DE COMPENSACIÓN FAMILIAR. (ID: SDG277)</t>
  </si>
  <si>
    <t>PRESTAR SERVICIOS PROFESIONALES EN EL ACOMPAÑAMIENTO JURÍDICO Y LEGAL EN LA REVISIÓN DE LOS MODELOS Y PRODUCTOS DEL MODERNIZACIÓN DE IVC DE LA SUPERINTENDENCIA DEL SUBSIDIO FAMILIAR. (ID: SDG-295)</t>
  </si>
  <si>
    <t xml:space="preserve">Prestar los servicios profesionales para apoyar el proceso de IVC en los aspectos legales y jurídicos que se realizan en las cajas de compensación familiar de acuerdo a lo establecido en los planes y proyectos estratégicos de la </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</si>
  <si>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</si>
  <si>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PRESTAR SERVICIOS PROFESIONALES PARA APOYAR EL DESARROLLO DE INDICADORES QUE PERMITAN EVALUAR LOS RIESGOS DEL SISTEMA DEL SUBSIDIO FAMILIAR EN EL PROCESO DE IVC. (ID: SDG-281).</t>
  </si>
  <si>
    <t>PRESTAR SERVICIOS PROFESIONALES COMO DESARROLLO DE SOFTWARE PARA EL APOYO A LA INTEGRACIÓN DE LOS SISTEMAS DE INFORMACIÓN DE LA SUPERINTENDENCIA DEL SUBSIDIO FAMILIAR (ID: OTIC-176-1).</t>
  </si>
  <si>
    <t>PRESTAR SERVICIOS PROFESIONALES PARA APOYAR LAS ACTIVIDADES RELACIONADAS CON ARQUITECTURA DE SEGURIDAD DE LA INFORMACIÓN, CONTINUIDAD DEL NEGOCIO Y ACTIVOS DE INFORMACIÓN DE LA SUPERINTENDENCIA DEL SUBSIDIO FAMILIAR. (ID: OTIC-219)</t>
  </si>
  <si>
    <t>PRESTAR LOS SERVICIOS PROFESIONALES PARA APOYAR EL COMPONENTE FINANCIERO Y CONTRACTUAL EN EL MARCO DE LA MODERNIZACIÓN DE IVC DE LA SUPERINTENDENCIA DEL SUBSIDIO FAMILIAR (ID: SDG-279-1)</t>
  </si>
  <si>
    <t>PRESTAR SERVICIOS PROFESIONALES COMO DESARROLLOR PARA APOYAR EL DESARROLLO DE SOFTWARE Y SOPORTE A LA INTEROPERABILIDAD E INTEGRACIÓN ENTRE SISTEMAS DE INFORMACIÓN DE LA SUPERINTENDENCIA DEL SUBSIDIO FAMILIAR. ID: OTIC-185-1</t>
  </si>
  <si>
    <t>PRESTAR SERVICIOS PROFESIONALES PARA ACOMPAÑAR LAS ESTRATEGIAS CONCERTADAS CON COMUNICACIONES PARA FORTALECER LOS CANALES DE ATENCIÓN Y EL RELACIONAMIENTO CON EL CIUDADANO. (ID: OPU-046)</t>
  </si>
  <si>
    <t>PRESTAR SERVICIOS PROFESIONALES PARA APOYAR LA IMPLEMENTACIÓN DE SERVICIOS DE INFORMACIÓN EN UNA ARQUITECTURA ORIENTADA SERVICIOS DE LA SUBSIDIO FAMILIAR.ID: OTIC-230-1</t>
  </si>
  <si>
    <t>PRESTAR SERVICIOS PROFESIONALES PARA APOYAR LA IMPLEMENTACIÓN DE LA POLÍTICA DE GOBIERNO DIGITAL Y DE LA ESTRATEGIA DE USO Y APROPIACIÓN DE TI DE LA SUPERINTENDENCIA DEL SUBSIDIO FAMILIAR. (ID: OTIC-189-1)
Relacionar con otro proceso	SíNo</t>
  </si>
  <si>
    <t>RENOVAR LA SUSCRIPCIÓN DEL LICENCIAMIENTO DE LOS SERVICIOS DE MICROSOFT 365 Y SERVICIOS CONEXOS - ASSURANCE PARA LA SUPERINTENDENCIA DEL SUBSIDIO FAMILIAR. (ID: OTIC-209)</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</si>
  <si>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</si>
  <si>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(ID: GGA-013) PRESTACIÓN DEL SERVICIO FÍSICO DE VIGILANCIA Y SEGURIDAD PRIVADA, PARA LA SEDE DE LA SUPERINTENDENCIA DEL SUBSIDIO FAMILIAR</t>
  </si>
  <si>
    <t>PRESTAR SERVICIOS PROFESIONALES PARA ADELANTAR LAS ACTIVIDADES JURÍDICAS RELACIONADAS CON EL PROCESO DE CONTROL LEGAL EFECTUADO A LA CAJAS DE COMPENSACIÓN FAMILIAR. (ID: SDRAME-361).</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</si>
  <si>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</si>
  <si>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</si>
  <si>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PRESTAR LOS SERVICIOS DE APOYO A LA GESTIÓN PARA LA IMPLEMENTACIÓN DE CURSOS EN MODALIDAD ELEARNING DE ACUERDO CON EL PLAN DE USOY APROPIACIÓN QUE SE ADELANTA EN LA OFICINA DE LA SUPERINTENDENCIA DEL SUBSIDIO FAMILIAR (ID:OTIC-216-1)</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</si>
  <si>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</si>
  <si>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(ID: GGC-319) PRESTAR LOS SERVICIOS DE APOYO A LA GESTIÓN EN EL GRUPO DE GESTIÓN CONTRACTUAL DE LA SUPERINTENDENCIA DEL SUBSIDIO FAMILIAR, APOYANDO LA ORGANIZACIÓN, DIGITALIZACIÓN Y CONSOLIDACIÓN DE LA DOCUMENTACIÓN ALLEGADA AL GRUPO.</t>
  </si>
  <si>
    <t>PRESTAR LOS SERVICIOS PROFESIONALES APOYANDO LA INSPECCIÓN Y VIGILANCIA A LAS GESTIONES QUE ADELANTEN LAS CAJAS DE COMPENSACIÓN FAMILIAR EN EL CUMPLIMIENTO DE LAS FUNCIONES DE LA DELEGADA PARA LA GESTIÓN. (ID: SDG-045)</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</si>
  <si>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</si>
  <si>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PRESTAR SERVICIOS PROFESIONALES PARA APOYAR LA ESTRUCTURACIÓN DE PROCESOS DE TECNOLOGÍAS DE LA INFORMACIÓN Y LAS COMUNICACIONES DE LA SUPERINTENDENCIA DEL SUBSIDIO FAMILIAR. (ID: OTIC-369)</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</si>
  <si>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</si>
  <si>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PRESTAR LOS SERVICIOS PROFESIONALES DE APOYO EN LA MISIONALIDAD DE LA SUPERINTENDENCIA DEL SUBSIDIO FAMILIAR, ESPECIFICAMENTE EN LA INSPECCIÓN Y VIGILANCIA A LAS CAJAS DE COMPENSACIÓN FAMILIAR. (ID: SDG-365)</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</si>
  <si>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</si>
  <si>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PRESTAR SERVICIOS PROFESIONALES A LA OFICINA ASESORA DE PLANEACIÓN PARA APOYAR LAS ACTIVIDADES RELACIONADAS CON LA PLANEACIÓN INSTITUCIONAL Y TEMAS PRESUPUESTALES ATENDIENDO LOS LINEAMIENTOS DEL SISTEMA DE GESTIÓN DE CALIDAD DE LA ENTIDAD. (ID: OAP-356)</t>
  </si>
  <si>
    <t>PRESTAR SERVICIOS PROFESIONALES PARA APOYAR LA ANALÍTICA Y GESTIÓN DE DATOS PARA EL SEGUIMIENTO Y EVALUACIÓN DE INDICADORES QUE REPORTAN LAS CAJAS DE COMPENSACIÓN FAMILIAR PARA EL FORTALECIMIENTO DEL RELACIONAMIENTO CON LA CIUDADANÍA. (ID: OPU-114)</t>
  </si>
  <si>
    <t>PRESTAR SERVICIOS DE APOYO A LA GESTIÓN PARA EL GRUPO DE GESTIÓN DOCUMENTAL Y NOTIFICACIONES EN EL DESARROLLO DE LAS ACTIVIDADES OPERATIVAS Y ADMINISTRATIVAS DE ACUERDO A LAS NECESIDADES DE LA DEPENDENCIA (ID: GGD-026)</t>
  </si>
  <si>
    <t>PRESTAR SERVICIOS PROFESIONALES EN LA IMPLEMENTACIÓN DE LAS ACTIVIDADES DEFINIDAS EN EL MODELO INTEGRADO DE PLANEACIÓN Y GESTIÓN MIPG, Y SEGUIMIENTO DE LOS INSTRUMENTOS DE PLANIFICACIÓN Y APOYO AL DESPACHO DE LA OFICINA ASESORA DE PLANEACIÓN. (ID: OAP-354)</t>
  </si>
  <si>
    <t>PRESTAR SERVICIOS PROFESIONALES COMO DESARROLLADOR PARA EL PROCESO DE AUTOMATIZACIONES DE LA PLATAFORMA DE GESTIÓN INSTITUCIONAL DE LA SUPERINTENDENCIA DEL SUBSIDIO FAMILIAR. (ID: OTIC-220-1)</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</si>
  <si>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</si>
  <si>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PRESTAR LOS SERVICIOS PROFESIONALES PARA LA GESTIÓN TÉCNICA DE LOS PROYECTOS DE AUTOMATIZACIÓN DE PROCESOS DE LA ENTIDAD EN EL MARCO DE LOS EJERCICIOS DE ARQUITECTURA EMPRESARIAL. (ID: OTIC-206)</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</si>
  <si>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</si>
  <si>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PRESTAR SERVICIOS PROFESIONALES PARA BRINDAR ACOMPAÑAMIENTO EN LA GESTIÓN DE LA PLATAFORMA DE GESTIÓN INSTITUCIONAL Y DESARROLLO DE AUTOMATIZACIONES DE PROCESOS DE LA SUPERINTENDENCIA DEL SUBSIDIO FAMILIAR. (ID: OTIC-190-1)</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</si>
  <si>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</si>
  <si>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PRESTAR LOS SERVICIOS PROFESIONALES PARA APOYAR EL PROCESO DE IVC, ANALIZANDO EL IMPACTO DE LOS SERVICIOS SOCIALES QUE PRESTAN LAS CAJAS DE COMPENSACIÓN FAMILIAR. (ID: SDG-286)</t>
  </si>
  <si>
    <t>PRESTAR SERVICIOS PROFESIONALES BRINDANDO APOYO A LAS ACTIVIDADES ADMINISTRATIVAS Y FUNCIONAMIENTO QUE SE REALIZAN DENTRO DE LOS PROCESOS A CARGO DEL GRUPO DE GESTIÓN ADMINISTRATIVA DE LA SECRETARÍA GENERAL" GGA (ID: GGA-351)</t>
  </si>
  <si>
    <t>PRESTAR LOS SERVICIOS PROFESIONALES DE ANÁLISIS FINANCIEROS Y CONTABLES DETALLADOS DE LAS CAJAS DE COMPENSACIÓN FAMILIAR, FORTALECIENDO LAS FUNCIONES DE INSPECCIÓN Y VIGILANCIA DEL CUMPLIMIENTO DE NORMAS CONTABLES, PRESUPUESTALES Y DE SOLVENCIA. (ID: SGD 364)</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</si>
  <si>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</si>
  <si>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 xml:space="preserve">	(ID: GGTH-342) PRESTAR APOYO EN LA ALIMENTACIÓN DE LA INFORMACIÓN EN LA HERRAMIENTA DE NOMINA JUNTO CON LA ACTUALIZACIÓN DE LAS NOVEDADES ADMINISTRATIVAS EN HISTORIAS LABORALES</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</si>
  <si>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</si>
  <si>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50.487.167 COP</t>
  </si>
  <si>
    <t>$7.210.000</t>
  </si>
  <si>
    <t>N/A</t>
  </si>
  <si>
    <t>N.A.</t>
  </si>
  <si>
    <t>$6.695.000</t>
  </si>
  <si>
    <t>5.150.000)</t>
  </si>
  <si>
    <t>$8.240.000</t>
  </si>
  <si>
    <t>$8.755.000</t>
  </si>
  <si>
    <t>$6.180.000</t>
  </si>
  <si>
    <t>$3.708.000</t>
  </si>
  <si>
    <t>EXTINTORES FIREXT S.A.S</t>
  </si>
  <si>
    <t>MANTENIMIENTO Y RECARGA DE LOS EXTINTORES DE LA SUPERINTENDENCIA DEL SUBSIDIO FAMILIAR; ASÍ COMO LA ADQUISICIÓN DE SOPORTES Y SEÑALIZACIÓN PARA LOS MISMOS. (ID: GGA-010)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</si>
</sst>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43" formatCode="_-* #,##0.00_-;\-* #,##0.00_-;_-* &quot;-&quot;??_-;_-@_-"/>
    <numFmt numFmtId="164" formatCode="_-* #,##0_-;\-* #,##0_-;_-* &quot;-&quot;??_-;_-@_-"/>
    <numFmt numFmtId="165" formatCode="dd/mm/yyyy;@"/>
  </numFmts>
  <fonts count="8">
    <font>
      <sz val="11"/>
      <color theme="1"/>
      <name val="Calibri"/>
      <family val="2"/>
      <scheme val="minor"/>
    </font>
    <font>
      <sz val="11"/>
      <color theme="1"/>
      <name val="Calibri"/>
      <family val="2"/>
      <scheme val="minor"/>
    </font>
    <font>
      <sz val="10"/>
      <color theme="1"/>
      <name val="Calibri"/>
      <family val="2"/>
      <scheme val="minor"/>
    </font>
    <font>
      <sz val="11"/>
      <color rgb="FF000000"/>
      <name val="Calibri"/>
      <family val="2"/>
      <scheme val="minor"/>
    </font>
    <font>
      <sz val="11"/>
      <name val="Calibri"/>
      <family val="2"/>
      <scheme val="minor"/>
    </font>
    <font>
      <sz val="11"/>
      <color rgb="FF000000"/>
      <name val="Calibri"/>
      <family val="2"/>
    </font>
    <font>
      <sz val="12"/>
      <color rgb="FF000000"/>
      <name val="Aptos Narrow"/>
      <family val="2"/>
    </font>
    <font>
      <sz val="12"/>
      <color theme="1"/>
      <name val="Aptos Narrow"/>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64">
    <xf numFmtId="0" fontId="0" fillId="0" borderId="0" xfId="0"/>
    <xf numFmtId="10" fontId="0" fillId="0" borderId="1" xfId="2" applyNumberFormat="1" applyFont="1" applyFill="1" applyBorder="1" applyAlignment="1">
      <alignment horizontal="center" vertical="center"/>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0" fillId="2" borderId="0" xfId="0" applyFill="1" applyAlignment="1">
      <alignment wrapText="1"/>
    </xf>
    <xf numFmtId="44" fontId="0" fillId="0" borderId="1" xfId="1" applyFont="1" applyFill="1" applyBorder="1" applyAlignment="1">
      <alignment horizontal="center" vertical="center" wrapText="1"/>
    </xf>
    <xf numFmtId="44" fontId="0" fillId="0" borderId="1" xfId="1" applyFont="1" applyFill="1" applyBorder="1" applyAlignment="1">
      <alignment horizontal="center"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44" fontId="3" fillId="0" borderId="1" xfId="1" applyFont="1" applyFill="1" applyBorder="1" applyAlignment="1">
      <alignment horizontal="center" vertical="center" wrapText="1"/>
    </xf>
    <xf numFmtId="1" fontId="3" fillId="0" borderId="1"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8"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4" fillId="0" borderId="1" xfId="0" applyNumberFormat="1" applyFont="1" applyBorder="1" applyAlignment="1">
      <alignment horizontal="center" vertical="center" wrapText="1"/>
    </xf>
    <xf numFmtId="44" fontId="4" fillId="0" borderId="1" xfId="1" applyFont="1" applyFill="1" applyBorder="1" applyAlignment="1">
      <alignment horizontal="center" vertical="center" wrapText="1"/>
    </xf>
    <xf numFmtId="0" fontId="0" fillId="0" borderId="0" xfId="0" applyAlignment="1">
      <alignment wrapText="1"/>
    </xf>
    <xf numFmtId="0" fontId="3" fillId="0" borderId="0" xfId="0" applyFont="1" applyAlignment="1">
      <alignment wrapText="1"/>
    </xf>
    <xf numFmtId="3" fontId="0" fillId="0" borderId="1" xfId="0" applyNumberFormat="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164" fontId="4" fillId="0" borderId="1" xfId="3" applyNumberFormat="1" applyFont="1" applyFill="1" applyBorder="1" applyAlignment="1">
      <alignment horizontal="center" vertical="center" wrapText="1"/>
    </xf>
    <xf numFmtId="0" fontId="3" fillId="0" borderId="1" xfId="0" applyFont="1" applyBorder="1" applyAlignment="1">
      <alignment horizontal="justify" vertical="center" wrapText="1"/>
    </xf>
    <xf numFmtId="8" fontId="0" fillId="0" borderId="1" xfId="1" applyNumberFormat="1" applyFont="1" applyFill="1" applyBorder="1" applyAlignment="1">
      <alignment horizontal="center" vertical="center"/>
    </xf>
    <xf numFmtId="0" fontId="4" fillId="0" borderId="1" xfId="0" applyFont="1" applyBorder="1" applyAlignment="1">
      <alignment horizontal="justify" vertical="center" wrapText="1"/>
    </xf>
    <xf numFmtId="8" fontId="4" fillId="0" borderId="1" xfId="1" applyNumberFormat="1" applyFont="1" applyFill="1" applyBorder="1" applyAlignment="1">
      <alignment horizontal="center" vertical="center"/>
    </xf>
    <xf numFmtId="10" fontId="4" fillId="0" borderId="1" xfId="2" applyNumberFormat="1" applyFont="1" applyFill="1" applyBorder="1" applyAlignment="1">
      <alignment horizontal="center" vertical="center"/>
    </xf>
    <xf numFmtId="1" fontId="4" fillId="0" borderId="1" xfId="0" applyNumberFormat="1" applyFont="1" applyBorder="1" applyAlignment="1">
      <alignment horizontal="center" vertical="center" wrapText="1"/>
    </xf>
    <xf numFmtId="0" fontId="4" fillId="0" borderId="0" xfId="0" applyFont="1"/>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165" fontId="3"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0" fillId="0" borderId="5" xfId="0" applyBorder="1" applyAlignment="1">
      <alignment horizontal="center" vertical="center" wrapText="1"/>
    </xf>
    <xf numFmtId="3" fontId="7" fillId="0" borderId="4" xfId="0" applyNumberFormat="1" applyFont="1" applyBorder="1" applyAlignment="1">
      <alignment horizontal="center" vertical="center"/>
    </xf>
    <xf numFmtId="14" fontId="7" fillId="0" borderId="4" xfId="0" applyNumberFormat="1" applyFont="1" applyBorder="1" applyAlignment="1">
      <alignment horizontal="center" vertical="center"/>
    </xf>
    <xf numFmtId="8" fontId="3" fillId="0" borderId="1" xfId="0" applyNumberFormat="1" applyFont="1" applyBorder="1" applyAlignment="1">
      <alignment horizontal="center" vertical="center" wrapText="1"/>
    </xf>
    <xf numFmtId="3" fontId="6" fillId="0" borderId="4" xfId="0" applyNumberFormat="1" applyFont="1" applyBorder="1" applyAlignment="1">
      <alignment horizontal="center" vertical="center"/>
    </xf>
    <xf numFmtId="14" fontId="6" fillId="0" borderId="4" xfId="0" applyNumberFormat="1" applyFont="1" applyBorder="1" applyAlignment="1">
      <alignment horizontal="center" vertical="center"/>
    </xf>
    <xf numFmtId="8" fontId="0" fillId="0" borderId="1" xfId="0" applyNumberFormat="1" applyBorder="1" applyAlignment="1">
      <alignment horizontal="center" vertical="center" wrapText="1"/>
    </xf>
    <xf numFmtId="44" fontId="1" fillId="0" borderId="1" xfId="1" applyFont="1" applyFill="1" applyBorder="1" applyAlignment="1">
      <alignment horizontal="center" vertical="center" wrapText="1"/>
    </xf>
    <xf numFmtId="44" fontId="1" fillId="0" borderId="1" xfId="1" applyFont="1" applyFill="1" applyBorder="1" applyAlignment="1">
      <alignment horizontal="center" vertical="center"/>
    </xf>
    <xf numFmtId="10" fontId="1" fillId="0" borderId="1" xfId="2" applyNumberFormat="1" applyFont="1" applyFill="1" applyBorder="1" applyAlignment="1">
      <alignment horizontal="center" vertical="center"/>
    </xf>
    <xf numFmtId="3" fontId="6" fillId="0" borderId="0" xfId="0" applyNumberFormat="1" applyFont="1" applyAlignment="1">
      <alignment horizontal="center" vertical="center"/>
    </xf>
    <xf numFmtId="44" fontId="0" fillId="0" borderId="0" xfId="1" applyFont="1" applyFill="1" applyAlignment="1">
      <alignment vertical="center"/>
    </xf>
    <xf numFmtId="44" fontId="2" fillId="2" borderId="1" xfId="1" applyFont="1" applyFill="1" applyBorder="1" applyAlignment="1">
      <alignment horizontal="center" vertical="center" wrapText="1"/>
    </xf>
    <xf numFmtId="8" fontId="0" fillId="0" borderId="1" xfId="1" applyNumberFormat="1" applyFont="1" applyFill="1" applyBorder="1" applyAlignment="1">
      <alignment horizontal="center" vertical="center" wrapText="1"/>
    </xf>
    <xf numFmtId="3" fontId="6" fillId="0" borderId="0" xfId="0" applyNumberFormat="1" applyFont="1" applyBorder="1" applyAlignment="1">
      <alignment horizontal="center" vertical="center"/>
    </xf>
    <xf numFmtId="0" fontId="0" fillId="0" borderId="1" xfId="0" applyFont="1" applyFill="1" applyBorder="1" applyAlignment="1">
      <alignment horizontal="center" vertical="center" wrapText="1"/>
    </xf>
    <xf numFmtId="165" fontId="0"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sheetPr filterMode="1"/>
  <dimension ref="A1:O1916"/>
  <sheetViews>
    <sheetView tabSelected="1" zoomScale="80" zoomScaleNormal="80" zoomScaleSheetLayoutView="50" workbookViewId="0">
      <pane ySplit="1" topLeftCell="A2" activePane="bottomLeft" state="frozen"/>
      <selection activeCell="E1" sqref="E1"/>
      <selection pane="bottomLeft" activeCell="A367" sqref="A367"/>
    </sheetView>
  </sheetViews>
  <sheetFormatPr baseColWidth="10" defaultColWidth="11.42578125" defaultRowHeight="15"/>
  <cols>
    <col min="1" max="1" width="29" customWidth="1"/>
    <col min="2" max="2" width="19" customWidth="1"/>
    <col min="3" max="3" width="19.5703125" customWidth="1"/>
    <col min="4" max="4" width="59.7109375" bestFit="1" customWidth="1"/>
    <col min="5" max="5" width="17.5703125" bestFit="1" customWidth="1"/>
    <col min="6" max="6" width="16.28515625" bestFit="1" customWidth="1"/>
    <col min="7" max="7" width="20.28515625" bestFit="1" customWidth="1"/>
    <col min="8" max="8" width="23.140625" customWidth="1"/>
    <col min="9" max="9" width="19.85546875" customWidth="1"/>
    <col min="10" max="10" width="31.42578125" style="5" bestFit="1" customWidth="1"/>
    <col min="11" max="11" width="23.5703125" style="56" bestFit="1" customWidth="1"/>
    <col min="12" max="12" width="26.7109375" style="56" bestFit="1" customWidth="1"/>
    <col min="13" max="13" width="27.5703125" bestFit="1" customWidth="1"/>
    <col min="14" max="14" width="25.85546875" bestFit="1" customWidth="1"/>
    <col min="15" max="15" width="41.140625" customWidth="1"/>
    <col min="16" max="16" width="16.42578125" bestFit="1" customWidth="1"/>
  </cols>
  <sheetData>
    <row r="1" spans="1:15" s="4" customFormat="1" ht="30">
      <c r="A1" s="2" t="s">
        <v>7</v>
      </c>
      <c r="B1" s="2" t="s">
        <v>8</v>
      </c>
      <c r="C1" s="3" t="s">
        <v>13</v>
      </c>
      <c r="D1" s="2" t="s">
        <v>0</v>
      </c>
      <c r="E1" s="2" t="s">
        <v>1</v>
      </c>
      <c r="F1" s="2" t="s">
        <v>2</v>
      </c>
      <c r="G1" s="2" t="s">
        <v>3</v>
      </c>
      <c r="H1" s="2" t="s">
        <v>4</v>
      </c>
      <c r="I1" s="2" t="s">
        <v>14</v>
      </c>
      <c r="J1" s="5" t="s">
        <v>5</v>
      </c>
      <c r="K1" s="57" t="s">
        <v>9</v>
      </c>
      <c r="L1" s="2" t="s">
        <v>227</v>
      </c>
      <c r="M1" s="3" t="s">
        <v>10</v>
      </c>
      <c r="N1" s="3" t="s">
        <v>11</v>
      </c>
      <c r="O1" s="3" t="s">
        <v>12</v>
      </c>
    </row>
    <row r="2" spans="1:15" s="22" customFormat="1" ht="90">
      <c r="A2" s="8" t="s">
        <v>224</v>
      </c>
      <c r="B2" s="8">
        <v>900051050</v>
      </c>
      <c r="C2" s="19">
        <v>1</v>
      </c>
      <c r="D2" s="9" t="s">
        <v>225</v>
      </c>
      <c r="E2" s="8" t="s">
        <v>587</v>
      </c>
      <c r="F2" s="17"/>
      <c r="G2" s="20"/>
      <c r="H2" s="21">
        <v>1867333918.8</v>
      </c>
      <c r="I2" s="8"/>
      <c r="J2" s="5">
        <f>949171887+62009608+62009608</f>
        <v>1073191103</v>
      </c>
      <c r="K2" s="6">
        <f>H2-J2</f>
        <v>794142815.79999995</v>
      </c>
      <c r="L2" s="1">
        <f>1-(K2/H2)</f>
        <v>0.57471836836213108</v>
      </c>
      <c r="M2" s="14">
        <v>0</v>
      </c>
      <c r="N2" s="13">
        <v>0</v>
      </c>
      <c r="O2" s="14"/>
    </row>
    <row r="3" spans="1:15" s="22" customFormat="1" ht="60">
      <c r="A3" s="8" t="s">
        <v>736</v>
      </c>
      <c r="B3" s="8">
        <v>900604496</v>
      </c>
      <c r="C3" s="19">
        <v>7</v>
      </c>
      <c r="D3" s="23" t="s">
        <v>737</v>
      </c>
      <c r="E3" s="8" t="s">
        <v>738</v>
      </c>
      <c r="F3" s="17">
        <v>44911</v>
      </c>
      <c r="G3" s="17">
        <v>46234</v>
      </c>
      <c r="H3" s="21">
        <v>95059380</v>
      </c>
      <c r="I3" s="8"/>
      <c r="J3" s="5">
        <v>2018599.99</v>
      </c>
      <c r="K3" s="6">
        <v>0</v>
      </c>
      <c r="L3" s="1">
        <f>1-(K3/H3)</f>
        <v>1</v>
      </c>
      <c r="M3" s="14">
        <v>0</v>
      </c>
      <c r="N3" s="13">
        <v>0</v>
      </c>
      <c r="O3" s="14"/>
    </row>
    <row r="4" spans="1:15" s="22" customFormat="1" ht="45">
      <c r="A4" s="8" t="s">
        <v>585</v>
      </c>
      <c r="B4" s="8">
        <v>800212545</v>
      </c>
      <c r="C4" s="19">
        <v>4</v>
      </c>
      <c r="D4" s="9" t="s">
        <v>588</v>
      </c>
      <c r="E4" s="8" t="s">
        <v>376</v>
      </c>
      <c r="F4" s="17">
        <v>44923</v>
      </c>
      <c r="G4" s="17">
        <v>46234</v>
      </c>
      <c r="H4" s="21">
        <v>2311127326.6799998</v>
      </c>
      <c r="I4" s="8"/>
      <c r="J4" s="5">
        <f>1372143242.68+6376405+1775451+4702194+18212849.5+6622620+2192876.5+21851079+3130921+6227984+1603162+11370987+3877782+2873382+40768828</f>
        <v>1503729763.6800001</v>
      </c>
      <c r="K4" s="6">
        <f>H4-J4</f>
        <v>807397562.99999976</v>
      </c>
      <c r="L4" s="1">
        <f t="shared" ref="L4:L12" si="0">1-(K4/H4)</f>
        <v>0.65064773641881113</v>
      </c>
      <c r="M4" s="14">
        <v>0</v>
      </c>
      <c r="N4" s="13">
        <v>0</v>
      </c>
      <c r="O4" s="9"/>
    </row>
    <row r="5" spans="1:15" s="22" customFormat="1" ht="45">
      <c r="A5" s="8" t="s">
        <v>589</v>
      </c>
      <c r="B5" s="24">
        <v>900470772</v>
      </c>
      <c r="C5" s="19">
        <v>8</v>
      </c>
      <c r="D5" s="9" t="s">
        <v>590</v>
      </c>
      <c r="E5" s="8" t="s">
        <v>586</v>
      </c>
      <c r="F5" s="17">
        <v>44937</v>
      </c>
      <c r="G5" s="17">
        <v>46234</v>
      </c>
      <c r="H5" s="21">
        <v>4277440979</v>
      </c>
      <c r="I5" s="8"/>
      <c r="J5" s="5">
        <f>2616071333+95830107+102114050+102114051</f>
        <v>2916129541</v>
      </c>
      <c r="K5" s="6">
        <f>H5-J5+95830107</f>
        <v>1457141545</v>
      </c>
      <c r="L5" s="1">
        <f t="shared" si="0"/>
        <v>0.65934268826763398</v>
      </c>
      <c r="M5" s="14">
        <v>0</v>
      </c>
      <c r="N5" s="13">
        <v>0</v>
      </c>
      <c r="O5" s="9"/>
    </row>
    <row r="6" spans="1:15" s="22" customFormat="1" ht="90">
      <c r="A6" s="8" t="s">
        <v>224</v>
      </c>
      <c r="B6" s="8">
        <v>900051050</v>
      </c>
      <c r="C6" s="19">
        <v>1</v>
      </c>
      <c r="D6" s="9" t="s">
        <v>225</v>
      </c>
      <c r="E6" s="8" t="s">
        <v>226</v>
      </c>
      <c r="F6" s="17">
        <v>44896</v>
      </c>
      <c r="G6" s="20">
        <v>46234</v>
      </c>
      <c r="H6" s="21">
        <v>13974493158</v>
      </c>
      <c r="I6" s="8"/>
      <c r="J6" s="5">
        <f>8824270938+317254984+317254984+317254984+317254984</f>
        <v>10093290874</v>
      </c>
      <c r="K6" s="6">
        <f t="shared" ref="K6:K12" si="1">H6-J6</f>
        <v>3881202284</v>
      </c>
      <c r="L6" s="1">
        <f t="shared" si="0"/>
        <v>0.72226525569708255</v>
      </c>
      <c r="M6" s="14">
        <v>0</v>
      </c>
      <c r="N6" s="13">
        <v>0</v>
      </c>
      <c r="O6" s="9"/>
    </row>
    <row r="7" spans="1:15" s="22" customFormat="1" ht="45" customHeight="1">
      <c r="A7" s="8" t="s">
        <v>740</v>
      </c>
      <c r="B7" s="8">
        <v>900062917</v>
      </c>
      <c r="C7" s="25">
        <v>9</v>
      </c>
      <c r="D7" s="9" t="s">
        <v>741</v>
      </c>
      <c r="E7" s="8" t="s">
        <v>739</v>
      </c>
      <c r="F7" s="17">
        <v>44896</v>
      </c>
      <c r="G7" s="20">
        <v>46234</v>
      </c>
      <c r="H7" s="21">
        <v>77787797</v>
      </c>
      <c r="I7" s="8"/>
      <c r="J7" s="5">
        <f>3192816+2411803+2759311+3096135</f>
        <v>11460065</v>
      </c>
      <c r="K7" s="6">
        <f t="shared" si="1"/>
        <v>66327732</v>
      </c>
      <c r="L7" s="1">
        <f t="shared" si="0"/>
        <v>0.14732471469785935</v>
      </c>
      <c r="M7" s="14">
        <v>0</v>
      </c>
      <c r="N7" s="13">
        <v>0</v>
      </c>
      <c r="O7" s="9"/>
    </row>
    <row r="8" spans="1:15" s="22" customFormat="1" ht="45">
      <c r="A8" s="8" t="s">
        <v>234</v>
      </c>
      <c r="B8" s="8">
        <v>900459737</v>
      </c>
      <c r="C8" s="26">
        <v>5</v>
      </c>
      <c r="D8" s="8" t="s">
        <v>235</v>
      </c>
      <c r="E8" s="8" t="s">
        <v>236</v>
      </c>
      <c r="F8" s="10">
        <v>45245</v>
      </c>
      <c r="G8" s="10">
        <v>46234</v>
      </c>
      <c r="H8" s="21">
        <v>120893102</v>
      </c>
      <c r="I8" s="8"/>
      <c r="J8" s="5">
        <f>3741126+1522078+1614814.74+1592547.76+1511255.11+1920142.17+2564020.57</f>
        <v>14465984.35</v>
      </c>
      <c r="K8" s="6">
        <f>H8-J8</f>
        <v>106427117.65000001</v>
      </c>
      <c r="L8" s="1">
        <f t="shared" si="0"/>
        <v>0.11965930322476126</v>
      </c>
      <c r="M8" s="14">
        <v>0</v>
      </c>
      <c r="N8" s="13">
        <v>0</v>
      </c>
      <c r="O8" s="9"/>
    </row>
    <row r="9" spans="1:15" s="22" customFormat="1" ht="45">
      <c r="A9" s="8" t="s">
        <v>231</v>
      </c>
      <c r="B9" s="8">
        <v>900460759</v>
      </c>
      <c r="C9" s="26">
        <v>9</v>
      </c>
      <c r="D9" s="8" t="s">
        <v>232</v>
      </c>
      <c r="E9" s="8" t="s">
        <v>233</v>
      </c>
      <c r="F9" s="10">
        <v>45276</v>
      </c>
      <c r="G9" s="10">
        <v>45793</v>
      </c>
      <c r="H9" s="21">
        <v>195515787</v>
      </c>
      <c r="I9" s="8"/>
      <c r="J9" s="5">
        <f>5991772+10685517+10685517+10685517.28+5342768.88+5342748.4+5342748.17</f>
        <v>54076588.730000004</v>
      </c>
      <c r="K9" s="6">
        <f t="shared" si="1"/>
        <v>141439198.26999998</v>
      </c>
      <c r="L9" s="1">
        <f t="shared" si="0"/>
        <v>0.27658425726000335</v>
      </c>
      <c r="M9" s="14">
        <v>0</v>
      </c>
      <c r="N9" s="13">
        <v>0</v>
      </c>
      <c r="O9" s="9"/>
    </row>
    <row r="10" spans="1:15" s="22" customFormat="1" ht="30">
      <c r="A10" s="8" t="s">
        <v>370</v>
      </c>
      <c r="B10" s="8">
        <v>800153993</v>
      </c>
      <c r="C10" s="27">
        <v>7</v>
      </c>
      <c r="D10" s="8" t="s">
        <v>371</v>
      </c>
      <c r="E10" s="8" t="s">
        <v>372</v>
      </c>
      <c r="F10" s="28">
        <v>45399</v>
      </c>
      <c r="G10" s="29">
        <v>45792</v>
      </c>
      <c r="H10" s="21">
        <v>99977850</v>
      </c>
      <c r="I10" s="8"/>
      <c r="J10" s="5">
        <v>9335000</v>
      </c>
      <c r="K10" s="6">
        <f t="shared" si="1"/>
        <v>90642850</v>
      </c>
      <c r="L10" s="1">
        <f t="shared" si="0"/>
        <v>9.3370681605975725E-2</v>
      </c>
      <c r="M10" s="14">
        <v>0</v>
      </c>
      <c r="N10" s="13">
        <v>0</v>
      </c>
      <c r="O10" s="9"/>
    </row>
    <row r="11" spans="1:15" s="22" customFormat="1" ht="30">
      <c r="A11" s="8" t="s">
        <v>370</v>
      </c>
      <c r="B11" s="8">
        <v>800153993</v>
      </c>
      <c r="C11" s="27">
        <v>7</v>
      </c>
      <c r="D11" s="30" t="s">
        <v>373</v>
      </c>
      <c r="E11" s="8" t="s">
        <v>369</v>
      </c>
      <c r="F11" s="28">
        <v>45457</v>
      </c>
      <c r="G11" s="29">
        <v>45728</v>
      </c>
      <c r="H11" s="21">
        <v>54723075</v>
      </c>
      <c r="I11" s="8"/>
      <c r="J11" s="5">
        <v>10944614</v>
      </c>
      <c r="K11" s="6">
        <f t="shared" si="1"/>
        <v>43778461</v>
      </c>
      <c r="L11" s="1">
        <f t="shared" si="0"/>
        <v>0.19999998172617306</v>
      </c>
      <c r="M11" s="14">
        <v>0</v>
      </c>
      <c r="N11" s="13">
        <v>0</v>
      </c>
      <c r="O11" s="9"/>
    </row>
    <row r="12" spans="1:15" s="22" customFormat="1" ht="45">
      <c r="A12" s="8" t="s">
        <v>229</v>
      </c>
      <c r="B12" s="8">
        <v>901681580</v>
      </c>
      <c r="C12" s="27">
        <v>1</v>
      </c>
      <c r="D12" s="9" t="s">
        <v>228</v>
      </c>
      <c r="E12" s="8" t="s">
        <v>230</v>
      </c>
      <c r="F12" s="10">
        <v>45622</v>
      </c>
      <c r="G12" s="10">
        <v>45741</v>
      </c>
      <c r="H12" s="21">
        <v>176513861.94</v>
      </c>
      <c r="I12" s="8"/>
      <c r="J12" s="5">
        <f>32419463+41422834</f>
        <v>73842297</v>
      </c>
      <c r="K12" s="6">
        <f t="shared" si="1"/>
        <v>102671564.94</v>
      </c>
      <c r="L12" s="1">
        <f t="shared" si="0"/>
        <v>0.41833709935540486</v>
      </c>
      <c r="M12" s="14">
        <v>0</v>
      </c>
      <c r="N12" s="13">
        <v>0</v>
      </c>
      <c r="O12" s="9"/>
    </row>
    <row r="13" spans="1:15" ht="75">
      <c r="A13" s="16" t="s">
        <v>15</v>
      </c>
      <c r="B13" s="31">
        <v>1081817848</v>
      </c>
      <c r="C13" s="16">
        <v>1</v>
      </c>
      <c r="D13" s="9" t="s">
        <v>24</v>
      </c>
      <c r="E13" s="16" t="s">
        <v>33</v>
      </c>
      <c r="F13" s="17">
        <v>45679</v>
      </c>
      <c r="G13" s="20">
        <v>45737</v>
      </c>
      <c r="H13" s="21">
        <v>17510000</v>
      </c>
      <c r="I13" s="21">
        <v>8755000</v>
      </c>
      <c r="J13" s="5">
        <f>I13+2626500+6128500</f>
        <v>17510000</v>
      </c>
      <c r="K13" s="6">
        <f>H13-J13</f>
        <v>0</v>
      </c>
      <c r="L13" s="1">
        <f t="shared" ref="L13:L22" si="2">1-(K13/H13)</f>
        <v>1</v>
      </c>
      <c r="M13" s="14">
        <v>0</v>
      </c>
      <c r="N13" s="13">
        <v>0</v>
      </c>
      <c r="O13" s="9"/>
    </row>
    <row r="14" spans="1:15" ht="75">
      <c r="A14" s="16" t="s">
        <v>16</v>
      </c>
      <c r="B14" s="16">
        <v>1032431123</v>
      </c>
      <c r="C14" s="16">
        <v>4</v>
      </c>
      <c r="D14" s="9" t="s">
        <v>25</v>
      </c>
      <c r="E14" s="16" t="s">
        <v>34</v>
      </c>
      <c r="F14" s="17">
        <v>45679</v>
      </c>
      <c r="G14" s="20">
        <v>46022</v>
      </c>
      <c r="H14" s="21">
        <v>128029000</v>
      </c>
      <c r="I14" s="21">
        <v>11330000</v>
      </c>
      <c r="J14" s="5">
        <f>26059000+11330000+I14+I14+I14</f>
        <v>71379000</v>
      </c>
      <c r="K14" s="6">
        <f t="shared" ref="K14:K22" si="3">H14-J14</f>
        <v>56650000</v>
      </c>
      <c r="L14" s="1">
        <f t="shared" si="2"/>
        <v>0.55752212389380529</v>
      </c>
      <c r="M14" s="14">
        <v>0</v>
      </c>
      <c r="N14" s="13">
        <v>0</v>
      </c>
      <c r="O14" s="9"/>
    </row>
    <row r="15" spans="1:15" ht="75">
      <c r="A15" s="16" t="s">
        <v>17</v>
      </c>
      <c r="B15" s="16">
        <v>1018454656</v>
      </c>
      <c r="C15" s="16">
        <v>6</v>
      </c>
      <c r="D15" s="9" t="s">
        <v>26</v>
      </c>
      <c r="E15" s="16" t="s">
        <v>35</v>
      </c>
      <c r="F15" s="17">
        <v>45679</v>
      </c>
      <c r="G15" s="20">
        <v>46022</v>
      </c>
      <c r="H15" s="21">
        <v>120767500</v>
      </c>
      <c r="I15" s="21">
        <v>10815000</v>
      </c>
      <c r="J15" s="5">
        <f>I15+3244500+10815000+I15+I15+I15+I15</f>
        <v>68134500</v>
      </c>
      <c r="K15" s="6">
        <f t="shared" si="3"/>
        <v>52633000</v>
      </c>
      <c r="L15" s="1">
        <f t="shared" si="2"/>
        <v>0.56417910447761188</v>
      </c>
      <c r="M15" s="14">
        <v>0</v>
      </c>
      <c r="N15" s="13">
        <v>0</v>
      </c>
      <c r="O15" s="9"/>
    </row>
    <row r="16" spans="1:15" ht="90">
      <c r="A16" s="16" t="s">
        <v>18</v>
      </c>
      <c r="B16" s="16">
        <v>1100950879</v>
      </c>
      <c r="C16" s="16">
        <v>6</v>
      </c>
      <c r="D16" s="9" t="s">
        <v>27</v>
      </c>
      <c r="E16" s="16" t="s">
        <v>36</v>
      </c>
      <c r="F16" s="17">
        <v>45680</v>
      </c>
      <c r="G16" s="20">
        <v>46022</v>
      </c>
      <c r="H16" s="21">
        <v>98639667</v>
      </c>
      <c r="I16" s="21">
        <v>8755000</v>
      </c>
      <c r="J16" s="5">
        <f>I16+2334667+8755000+I16+I16+I16+I16</f>
        <v>54864667</v>
      </c>
      <c r="K16" s="6">
        <f t="shared" si="3"/>
        <v>43775000</v>
      </c>
      <c r="L16" s="1">
        <f t="shared" si="2"/>
        <v>0.55621301925117006</v>
      </c>
      <c r="M16" s="14">
        <v>0</v>
      </c>
      <c r="N16" s="13">
        <v>0</v>
      </c>
      <c r="O16" s="9"/>
    </row>
    <row r="17" spans="1:15" ht="75">
      <c r="A17" s="16" t="s">
        <v>19</v>
      </c>
      <c r="B17" s="16">
        <v>53106586</v>
      </c>
      <c r="C17" s="16">
        <v>3</v>
      </c>
      <c r="D17" s="9" t="s">
        <v>28</v>
      </c>
      <c r="E17" s="16" t="s">
        <v>37</v>
      </c>
      <c r="F17" s="17">
        <v>45681</v>
      </c>
      <c r="G17" s="20">
        <v>45739</v>
      </c>
      <c r="H17" s="21">
        <v>17510000</v>
      </c>
      <c r="I17" s="21">
        <v>8755000</v>
      </c>
      <c r="J17" s="5">
        <f>I17+2042833+6712167</f>
        <v>17510000</v>
      </c>
      <c r="K17" s="6">
        <f t="shared" si="3"/>
        <v>0</v>
      </c>
      <c r="L17" s="1">
        <f t="shared" si="2"/>
        <v>1</v>
      </c>
      <c r="M17" s="14">
        <v>0</v>
      </c>
      <c r="N17" s="13">
        <v>0</v>
      </c>
      <c r="O17" s="9"/>
    </row>
    <row r="18" spans="1:15" ht="75">
      <c r="A18" s="16" t="s">
        <v>20</v>
      </c>
      <c r="B18" s="16">
        <v>52786047</v>
      </c>
      <c r="C18" s="16">
        <v>8</v>
      </c>
      <c r="D18" s="9" t="s">
        <v>29</v>
      </c>
      <c r="E18" s="16" t="s">
        <v>38</v>
      </c>
      <c r="F18" s="17">
        <v>45684</v>
      </c>
      <c r="G18" s="20">
        <v>45742</v>
      </c>
      <c r="H18" s="21">
        <v>17510000</v>
      </c>
      <c r="I18" s="21">
        <v>8755000</v>
      </c>
      <c r="J18" s="5">
        <f>I18+1167333+7587667</f>
        <v>17510000</v>
      </c>
      <c r="K18" s="6">
        <f t="shared" si="3"/>
        <v>0</v>
      </c>
      <c r="L18" s="1">
        <f t="shared" si="2"/>
        <v>1</v>
      </c>
      <c r="M18" s="14">
        <v>0</v>
      </c>
      <c r="N18" s="13">
        <v>0</v>
      </c>
      <c r="O18" s="9"/>
    </row>
    <row r="19" spans="1:15" ht="105">
      <c r="A19" s="16" t="s">
        <v>21</v>
      </c>
      <c r="B19" s="16">
        <v>1110534895</v>
      </c>
      <c r="C19" s="16">
        <v>7</v>
      </c>
      <c r="D19" s="9" t="s">
        <v>30</v>
      </c>
      <c r="E19" s="16" t="s">
        <v>39</v>
      </c>
      <c r="F19" s="17">
        <v>45685</v>
      </c>
      <c r="G19" s="20">
        <v>45988</v>
      </c>
      <c r="H19" s="21">
        <v>82400000</v>
      </c>
      <c r="I19" s="21">
        <v>8240000</v>
      </c>
      <c r="J19" s="5">
        <f>I19+824000+8240000+I19+I19+I19+I19</f>
        <v>50264000</v>
      </c>
      <c r="K19" s="6">
        <f>H19-J19+8240000</f>
        <v>40376000</v>
      </c>
      <c r="L19" s="1">
        <f t="shared" si="2"/>
        <v>0.51</v>
      </c>
      <c r="M19" s="14">
        <v>0</v>
      </c>
      <c r="N19" s="13">
        <v>0</v>
      </c>
      <c r="O19" s="9"/>
    </row>
    <row r="20" spans="1:15" ht="60">
      <c r="A20" s="16" t="s">
        <v>42</v>
      </c>
      <c r="B20" s="16">
        <v>830001113</v>
      </c>
      <c r="C20" s="16">
        <v>1</v>
      </c>
      <c r="D20" s="9" t="s">
        <v>43</v>
      </c>
      <c r="E20" s="16" t="s">
        <v>44</v>
      </c>
      <c r="F20" s="17">
        <v>45691</v>
      </c>
      <c r="G20" s="20">
        <v>46022</v>
      </c>
      <c r="H20" s="21">
        <v>25000000</v>
      </c>
      <c r="I20" s="21">
        <v>25000000</v>
      </c>
      <c r="J20" s="5">
        <f>6485100+9610500+5170000</f>
        <v>21265600</v>
      </c>
      <c r="K20" s="6">
        <f t="shared" si="3"/>
        <v>3734400</v>
      </c>
      <c r="L20" s="1">
        <f t="shared" si="2"/>
        <v>0.85062400000000005</v>
      </c>
      <c r="M20" s="14">
        <v>0</v>
      </c>
      <c r="N20" s="13">
        <v>0</v>
      </c>
      <c r="O20" s="9"/>
    </row>
    <row r="21" spans="1:15" ht="75">
      <c r="A21" s="16" t="s">
        <v>22</v>
      </c>
      <c r="B21" s="16">
        <v>1055228274</v>
      </c>
      <c r="C21" s="16">
        <v>2</v>
      </c>
      <c r="D21" s="9" t="s">
        <v>31</v>
      </c>
      <c r="E21" s="16" t="s">
        <v>40</v>
      </c>
      <c r="F21" s="17">
        <v>45687</v>
      </c>
      <c r="G21" s="20">
        <v>45745</v>
      </c>
      <c r="H21" s="21">
        <v>12360000</v>
      </c>
      <c r="I21" s="21">
        <v>6180000</v>
      </c>
      <c r="J21" s="5">
        <f>206000+6180000+5974000</f>
        <v>12360000</v>
      </c>
      <c r="K21" s="6">
        <f t="shared" si="3"/>
        <v>0</v>
      </c>
      <c r="L21" s="1">
        <f t="shared" si="2"/>
        <v>1</v>
      </c>
      <c r="M21" s="14">
        <v>0</v>
      </c>
      <c r="N21" s="13">
        <v>0</v>
      </c>
      <c r="O21" s="9"/>
    </row>
    <row r="22" spans="1:15" ht="90">
      <c r="A22" s="16" t="s">
        <v>23</v>
      </c>
      <c r="B22" s="16">
        <v>79443118</v>
      </c>
      <c r="C22" s="16">
        <v>9</v>
      </c>
      <c r="D22" s="9" t="s">
        <v>32</v>
      </c>
      <c r="E22" s="16" t="s">
        <v>41</v>
      </c>
      <c r="F22" s="17">
        <v>45687</v>
      </c>
      <c r="G22" s="20">
        <v>45745</v>
      </c>
      <c r="H22" s="21">
        <v>16480000</v>
      </c>
      <c r="I22" s="21">
        <v>8240000</v>
      </c>
      <c r="J22" s="5">
        <f>274667+I22+7965333</f>
        <v>16480000</v>
      </c>
      <c r="K22" s="6">
        <f t="shared" si="3"/>
        <v>0</v>
      </c>
      <c r="L22" s="1">
        <f t="shared" si="2"/>
        <v>1</v>
      </c>
      <c r="M22" s="14">
        <v>0</v>
      </c>
      <c r="N22" s="13">
        <v>0</v>
      </c>
      <c r="O22" s="9"/>
    </row>
    <row r="23" spans="1:15" ht="60">
      <c r="A23" s="32" t="s">
        <v>105</v>
      </c>
      <c r="B23" s="16">
        <v>35529449</v>
      </c>
      <c r="C23" s="16">
        <v>2</v>
      </c>
      <c r="D23" s="9" t="s">
        <v>164</v>
      </c>
      <c r="E23" s="16" t="s">
        <v>45</v>
      </c>
      <c r="F23" s="17">
        <v>45693</v>
      </c>
      <c r="G23" s="20">
        <v>45751</v>
      </c>
      <c r="H23" s="21">
        <v>17510000</v>
      </c>
      <c r="I23" s="21">
        <v>8755000</v>
      </c>
      <c r="J23" s="5">
        <f>7587667+9922333</f>
        <v>17510000</v>
      </c>
      <c r="K23" s="6">
        <f t="shared" ref="K23:K83" si="4">H23-J23</f>
        <v>0</v>
      </c>
      <c r="L23" s="1">
        <f t="shared" ref="L23:L83" si="5">1-(K23/H23)</f>
        <v>1</v>
      </c>
      <c r="M23" s="14">
        <v>0</v>
      </c>
      <c r="N23" s="13">
        <v>0</v>
      </c>
      <c r="O23" s="9"/>
    </row>
    <row r="24" spans="1:15" ht="135">
      <c r="A24" s="15" t="s">
        <v>106</v>
      </c>
      <c r="B24" s="16">
        <v>52219533</v>
      </c>
      <c r="C24" s="16">
        <v>5</v>
      </c>
      <c r="D24" s="9" t="s">
        <v>165</v>
      </c>
      <c r="E24" s="16" t="s">
        <v>46</v>
      </c>
      <c r="F24" s="17">
        <v>45694</v>
      </c>
      <c r="G24" s="20">
        <v>45752</v>
      </c>
      <c r="H24" s="21">
        <v>18746000</v>
      </c>
      <c r="I24" s="21">
        <v>9373000</v>
      </c>
      <c r="J24" s="5">
        <f>7810833+10935167</f>
        <v>18746000</v>
      </c>
      <c r="K24" s="6">
        <f>H24-J24</f>
        <v>0</v>
      </c>
      <c r="L24" s="1">
        <f t="shared" si="5"/>
        <v>1</v>
      </c>
      <c r="M24" s="14">
        <v>0</v>
      </c>
      <c r="N24" s="13">
        <v>0</v>
      </c>
      <c r="O24" s="9"/>
    </row>
    <row r="25" spans="1:15" ht="120">
      <c r="A25" s="15" t="s">
        <v>107</v>
      </c>
      <c r="B25" s="16">
        <v>46373026</v>
      </c>
      <c r="C25" s="16">
        <v>9</v>
      </c>
      <c r="D25" s="9" t="s">
        <v>166</v>
      </c>
      <c r="E25" s="16" t="s">
        <v>47</v>
      </c>
      <c r="F25" s="17">
        <v>45694</v>
      </c>
      <c r="G25" s="20">
        <v>45752</v>
      </c>
      <c r="H25" s="21">
        <v>18746000</v>
      </c>
      <c r="I25" s="21">
        <v>9373000</v>
      </c>
      <c r="J25" s="5">
        <f>7810833+9373000+1562167</f>
        <v>18746000</v>
      </c>
      <c r="K25" s="6">
        <f t="shared" si="4"/>
        <v>0</v>
      </c>
      <c r="L25" s="1">
        <f t="shared" si="5"/>
        <v>1</v>
      </c>
      <c r="M25" s="14">
        <v>0</v>
      </c>
      <c r="N25" s="13">
        <v>0</v>
      </c>
      <c r="O25" s="9"/>
    </row>
    <row r="26" spans="1:15" ht="90">
      <c r="A26" s="15" t="s">
        <v>108</v>
      </c>
      <c r="B26" s="16">
        <v>34568513</v>
      </c>
      <c r="C26" s="16">
        <v>9</v>
      </c>
      <c r="D26" s="9" t="s">
        <v>167</v>
      </c>
      <c r="E26" s="16" t="s">
        <v>48</v>
      </c>
      <c r="F26" s="17">
        <v>45695</v>
      </c>
      <c r="G26" s="20">
        <v>45753</v>
      </c>
      <c r="H26" s="21">
        <v>18746000</v>
      </c>
      <c r="I26" s="21">
        <v>9373000</v>
      </c>
      <c r="J26" s="5">
        <f>7498400+9373000+1874600</f>
        <v>18746000</v>
      </c>
      <c r="K26" s="6">
        <f t="shared" si="4"/>
        <v>0</v>
      </c>
      <c r="L26" s="1">
        <f t="shared" si="5"/>
        <v>1</v>
      </c>
      <c r="M26" s="14">
        <v>0</v>
      </c>
      <c r="N26" s="13">
        <v>0</v>
      </c>
      <c r="O26" s="9"/>
    </row>
    <row r="27" spans="1:15" ht="90">
      <c r="A27" s="15" t="s">
        <v>109</v>
      </c>
      <c r="B27" s="16">
        <v>52265179</v>
      </c>
      <c r="C27" s="16">
        <v>6</v>
      </c>
      <c r="D27" s="9" t="s">
        <v>168</v>
      </c>
      <c r="E27" s="16" t="s">
        <v>49</v>
      </c>
      <c r="F27" s="17">
        <v>45698</v>
      </c>
      <c r="G27" s="20">
        <v>45756</v>
      </c>
      <c r="H27" s="21">
        <v>15450000</v>
      </c>
      <c r="I27" s="21">
        <v>7725000</v>
      </c>
      <c r="J27" s="5">
        <f>5407500+7725000</f>
        <v>13132500</v>
      </c>
      <c r="K27" s="6">
        <f t="shared" si="4"/>
        <v>2317500</v>
      </c>
      <c r="L27" s="1">
        <f t="shared" si="5"/>
        <v>0.85</v>
      </c>
      <c r="M27" s="14">
        <v>0</v>
      </c>
      <c r="N27" s="13">
        <v>0</v>
      </c>
      <c r="O27" s="9"/>
    </row>
    <row r="28" spans="1:15" ht="120">
      <c r="A28" s="15" t="s">
        <v>110</v>
      </c>
      <c r="B28" s="16">
        <v>1082933510</v>
      </c>
      <c r="C28" s="16">
        <v>8</v>
      </c>
      <c r="D28" s="9" t="s">
        <v>169</v>
      </c>
      <c r="E28" s="16" t="s">
        <v>50</v>
      </c>
      <c r="F28" s="17">
        <v>45698</v>
      </c>
      <c r="G28" s="20">
        <v>45756</v>
      </c>
      <c r="H28" s="21">
        <v>18746000</v>
      </c>
      <c r="I28" s="21">
        <v>9373000</v>
      </c>
      <c r="J28" s="5">
        <f>6561100+9373000+2811900</f>
        <v>18746000</v>
      </c>
      <c r="K28" s="6">
        <f t="shared" si="4"/>
        <v>0</v>
      </c>
      <c r="L28" s="1">
        <f t="shared" si="5"/>
        <v>1</v>
      </c>
      <c r="M28" s="14">
        <v>0</v>
      </c>
      <c r="N28" s="13">
        <v>0</v>
      </c>
      <c r="O28" s="9"/>
    </row>
    <row r="29" spans="1:15" ht="60">
      <c r="A29" s="15" t="s">
        <v>111</v>
      </c>
      <c r="B29" s="16">
        <v>1018413612</v>
      </c>
      <c r="C29" s="16">
        <v>7</v>
      </c>
      <c r="D29" s="9" t="s">
        <v>170</v>
      </c>
      <c r="E29" s="16" t="s">
        <v>51</v>
      </c>
      <c r="F29" s="17">
        <v>45695</v>
      </c>
      <c r="G29" s="17">
        <v>45747</v>
      </c>
      <c r="H29" s="21">
        <v>16480000</v>
      </c>
      <c r="I29" s="21">
        <v>8240000</v>
      </c>
      <c r="J29" s="5">
        <f>6592000+8240000</f>
        <v>14832000</v>
      </c>
      <c r="K29" s="6">
        <f t="shared" si="4"/>
        <v>1648000</v>
      </c>
      <c r="L29" s="1">
        <f t="shared" si="5"/>
        <v>0.9</v>
      </c>
      <c r="M29" s="14">
        <v>0</v>
      </c>
      <c r="N29" s="13">
        <v>0</v>
      </c>
      <c r="O29" s="9"/>
    </row>
    <row r="30" spans="1:15" ht="60">
      <c r="A30" s="15" t="s">
        <v>112</v>
      </c>
      <c r="B30" s="16">
        <v>1098616302</v>
      </c>
      <c r="C30" s="16">
        <v>1</v>
      </c>
      <c r="D30" s="9" t="s">
        <v>171</v>
      </c>
      <c r="E30" s="16" t="s">
        <v>52</v>
      </c>
      <c r="F30" s="17">
        <v>45698</v>
      </c>
      <c r="G30" s="20">
        <v>46020</v>
      </c>
      <c r="H30" s="21">
        <v>87893333</v>
      </c>
      <c r="I30" s="21">
        <v>8240000</v>
      </c>
      <c r="J30" s="5">
        <f>5768000+8240000+8240000+8240000+8240000+I30</f>
        <v>46968000</v>
      </c>
      <c r="K30" s="6">
        <f t="shared" si="4"/>
        <v>40925333</v>
      </c>
      <c r="L30" s="1">
        <f t="shared" si="5"/>
        <v>0.53437500202660426</v>
      </c>
      <c r="M30" s="14">
        <v>0</v>
      </c>
      <c r="N30" s="13">
        <v>0</v>
      </c>
      <c r="O30" s="9"/>
    </row>
    <row r="31" spans="1:15" ht="60">
      <c r="A31" s="15" t="s">
        <v>113</v>
      </c>
      <c r="B31" s="16">
        <v>1030700108</v>
      </c>
      <c r="C31" s="16">
        <v>0</v>
      </c>
      <c r="D31" s="9" t="s">
        <v>172</v>
      </c>
      <c r="E31" s="16" t="s">
        <v>53</v>
      </c>
      <c r="F31" s="17">
        <v>45712</v>
      </c>
      <c r="G31" s="20">
        <v>45800</v>
      </c>
      <c r="H31" s="21">
        <v>9900000</v>
      </c>
      <c r="I31" s="21">
        <v>3300000</v>
      </c>
      <c r="J31" s="5">
        <f>770000+3300000+3300000+2530000</f>
        <v>9900000</v>
      </c>
      <c r="K31" s="6">
        <f t="shared" si="4"/>
        <v>0</v>
      </c>
      <c r="L31" s="1">
        <f t="shared" si="5"/>
        <v>1</v>
      </c>
      <c r="M31" s="14">
        <v>0</v>
      </c>
      <c r="N31" s="13">
        <v>0</v>
      </c>
      <c r="O31" s="9"/>
    </row>
    <row r="32" spans="1:15" ht="105">
      <c r="A32" s="15" t="s">
        <v>114</v>
      </c>
      <c r="B32" s="16">
        <v>52538558</v>
      </c>
      <c r="C32" s="16">
        <v>7</v>
      </c>
      <c r="D32" s="9" t="s">
        <v>173</v>
      </c>
      <c r="E32" s="16" t="s">
        <v>54</v>
      </c>
      <c r="F32" s="17">
        <v>45702</v>
      </c>
      <c r="G32" s="20">
        <v>45760</v>
      </c>
      <c r="H32" s="21">
        <v>18746000</v>
      </c>
      <c r="I32" s="21">
        <v>9373000</v>
      </c>
      <c r="J32" s="5">
        <f>6248667+12497333</f>
        <v>18746000</v>
      </c>
      <c r="K32" s="6">
        <f t="shared" si="4"/>
        <v>0</v>
      </c>
      <c r="L32" s="1">
        <f t="shared" si="5"/>
        <v>1</v>
      </c>
      <c r="M32" s="14">
        <v>0</v>
      </c>
      <c r="N32" s="13">
        <v>0</v>
      </c>
      <c r="O32" s="9"/>
    </row>
    <row r="33" spans="1:15" ht="75">
      <c r="A33" s="15" t="s">
        <v>115</v>
      </c>
      <c r="B33" s="16">
        <v>15443887</v>
      </c>
      <c r="C33" s="16">
        <v>1</v>
      </c>
      <c r="D33" s="9" t="s">
        <v>174</v>
      </c>
      <c r="E33" s="16" t="s">
        <v>55</v>
      </c>
      <c r="F33" s="17">
        <v>45699</v>
      </c>
      <c r="G33" s="20">
        <v>45848</v>
      </c>
      <c r="H33" s="21">
        <v>36050000</v>
      </c>
      <c r="I33" s="21">
        <v>7210000</v>
      </c>
      <c r="J33" s="5">
        <f>4806666+7210000+7210000+7210000+7210000</f>
        <v>33646666</v>
      </c>
      <c r="K33" s="6">
        <f t="shared" si="4"/>
        <v>2403334</v>
      </c>
      <c r="L33" s="1">
        <f t="shared" si="5"/>
        <v>0.93333331484049931</v>
      </c>
      <c r="M33" s="14">
        <v>0</v>
      </c>
      <c r="N33" s="13">
        <v>0</v>
      </c>
      <c r="O33" s="9"/>
    </row>
    <row r="34" spans="1:15" ht="60">
      <c r="A34" s="15" t="s">
        <v>6</v>
      </c>
      <c r="B34" s="16">
        <v>1013688295</v>
      </c>
      <c r="C34" s="16">
        <v>7</v>
      </c>
      <c r="D34" s="9" t="s">
        <v>175</v>
      </c>
      <c r="E34" s="16" t="s">
        <v>56</v>
      </c>
      <c r="F34" s="17">
        <v>45699</v>
      </c>
      <c r="G34" s="20">
        <v>45757</v>
      </c>
      <c r="H34" s="21">
        <v>5850400</v>
      </c>
      <c r="I34" s="21">
        <v>2925200</v>
      </c>
      <c r="J34" s="5">
        <f>1950133+3900267</f>
        <v>5850400</v>
      </c>
      <c r="K34" s="6">
        <f t="shared" si="4"/>
        <v>0</v>
      </c>
      <c r="L34" s="1">
        <f t="shared" si="5"/>
        <v>1</v>
      </c>
      <c r="M34" s="14">
        <v>0</v>
      </c>
      <c r="N34" s="13">
        <v>0</v>
      </c>
      <c r="O34" s="9"/>
    </row>
    <row r="35" spans="1:15" ht="105">
      <c r="A35" s="15" t="s">
        <v>116</v>
      </c>
      <c r="B35" s="16">
        <v>1095823766</v>
      </c>
      <c r="C35" s="16">
        <v>1</v>
      </c>
      <c r="D35" s="9" t="s">
        <v>176</v>
      </c>
      <c r="E35" s="16" t="s">
        <v>57</v>
      </c>
      <c r="F35" s="17">
        <v>45699</v>
      </c>
      <c r="G35" s="20">
        <v>46022</v>
      </c>
      <c r="H35" s="21">
        <v>99978667</v>
      </c>
      <c r="I35" s="21">
        <v>9370071.883786317</v>
      </c>
      <c r="J35" s="5">
        <f>6248667+9373000+9373000+9373000+I35</f>
        <v>43737738.883786321</v>
      </c>
      <c r="K35" s="6">
        <f t="shared" si="4"/>
        <v>56240928.116213679</v>
      </c>
      <c r="L35" s="1">
        <f t="shared" si="5"/>
        <v>0.43747071446538011</v>
      </c>
      <c r="M35" s="14">
        <v>0</v>
      </c>
      <c r="N35" s="13">
        <v>0</v>
      </c>
      <c r="O35" s="9"/>
    </row>
    <row r="36" spans="1:15" ht="60">
      <c r="A36" s="15" t="s">
        <v>117</v>
      </c>
      <c r="B36" s="16">
        <v>1020816603</v>
      </c>
      <c r="C36" s="16">
        <v>8</v>
      </c>
      <c r="D36" s="9" t="s">
        <v>177</v>
      </c>
      <c r="E36" s="16" t="s">
        <v>58</v>
      </c>
      <c r="F36" s="17">
        <v>45699</v>
      </c>
      <c r="G36" s="20">
        <v>45787</v>
      </c>
      <c r="H36" s="21">
        <v>13905000</v>
      </c>
      <c r="I36" s="21">
        <v>4635000</v>
      </c>
      <c r="J36" s="5">
        <f>3090000+4635000+4635000+1545000</f>
        <v>13905000</v>
      </c>
      <c r="K36" s="6">
        <f t="shared" si="4"/>
        <v>0</v>
      </c>
      <c r="L36" s="1">
        <f t="shared" si="5"/>
        <v>1</v>
      </c>
      <c r="M36" s="14">
        <v>0</v>
      </c>
      <c r="N36" s="13">
        <v>0</v>
      </c>
      <c r="O36" s="9"/>
    </row>
    <row r="37" spans="1:15" ht="105">
      <c r="A37" s="15" t="s">
        <v>118</v>
      </c>
      <c r="B37" s="16">
        <v>1072662456</v>
      </c>
      <c r="C37" s="16">
        <v>8</v>
      </c>
      <c r="D37" s="9" t="s">
        <v>178</v>
      </c>
      <c r="E37" s="16" t="s">
        <v>59</v>
      </c>
      <c r="F37" s="17">
        <v>45702</v>
      </c>
      <c r="G37" s="20">
        <v>45760</v>
      </c>
      <c r="H37" s="21">
        <v>16480000</v>
      </c>
      <c r="I37" s="21">
        <v>8240000</v>
      </c>
      <c r="J37" s="5">
        <f>3845333+8240000+4394667</f>
        <v>16480000</v>
      </c>
      <c r="K37" s="6">
        <f t="shared" si="4"/>
        <v>0</v>
      </c>
      <c r="L37" s="1">
        <f t="shared" si="5"/>
        <v>1</v>
      </c>
      <c r="M37" s="14">
        <v>0</v>
      </c>
      <c r="N37" s="13">
        <v>0</v>
      </c>
      <c r="O37" s="9"/>
    </row>
    <row r="38" spans="1:15" ht="90">
      <c r="A38" s="15" t="s">
        <v>119</v>
      </c>
      <c r="B38" s="16">
        <v>1010215529</v>
      </c>
      <c r="C38" s="16">
        <v>5</v>
      </c>
      <c r="D38" s="9" t="s">
        <v>179</v>
      </c>
      <c r="E38" s="16" t="s">
        <v>60</v>
      </c>
      <c r="F38" s="17">
        <v>45699</v>
      </c>
      <c r="G38" s="20">
        <v>45757</v>
      </c>
      <c r="H38" s="21">
        <v>17510000</v>
      </c>
      <c r="I38" s="21">
        <v>8755000</v>
      </c>
      <c r="J38" s="5">
        <v>5835557</v>
      </c>
      <c r="K38" s="6">
        <f t="shared" si="4"/>
        <v>11674443</v>
      </c>
      <c r="L38" s="1">
        <f t="shared" si="5"/>
        <v>0.33326996002284404</v>
      </c>
      <c r="M38" s="14">
        <v>0</v>
      </c>
      <c r="N38" s="13">
        <v>0</v>
      </c>
      <c r="O38" s="9"/>
    </row>
    <row r="39" spans="1:15" ht="90">
      <c r="A39" s="15" t="s">
        <v>120</v>
      </c>
      <c r="B39" s="16">
        <v>72260721</v>
      </c>
      <c r="C39" s="16">
        <v>9</v>
      </c>
      <c r="D39" s="9" t="s">
        <v>180</v>
      </c>
      <c r="E39" s="16" t="s">
        <v>61</v>
      </c>
      <c r="F39" s="17">
        <v>45699</v>
      </c>
      <c r="G39" s="20">
        <v>45787</v>
      </c>
      <c r="H39" s="21">
        <v>26265000</v>
      </c>
      <c r="I39" s="21">
        <v>8755000</v>
      </c>
      <c r="J39" s="5">
        <f>5836667+8755000+8755000+2918333</f>
        <v>26265000</v>
      </c>
      <c r="K39" s="6">
        <f t="shared" si="4"/>
        <v>0</v>
      </c>
      <c r="L39" s="1">
        <f t="shared" si="5"/>
        <v>1</v>
      </c>
      <c r="M39" s="14">
        <v>0</v>
      </c>
      <c r="N39" s="13">
        <v>0</v>
      </c>
      <c r="O39" s="9"/>
    </row>
    <row r="40" spans="1:15" ht="60">
      <c r="A40" s="15" t="s">
        <v>121</v>
      </c>
      <c r="B40" s="16">
        <v>1020802607</v>
      </c>
      <c r="C40" s="16">
        <v>6</v>
      </c>
      <c r="D40" s="9" t="s">
        <v>181</v>
      </c>
      <c r="E40" s="16" t="s">
        <v>62</v>
      </c>
      <c r="F40" s="17">
        <v>45699</v>
      </c>
      <c r="G40" s="20">
        <v>45787</v>
      </c>
      <c r="H40" s="21">
        <v>18540000</v>
      </c>
      <c r="I40" s="21">
        <v>6180000</v>
      </c>
      <c r="J40" s="5">
        <f>4120000+6180000+2060000</f>
        <v>12360000</v>
      </c>
      <c r="K40" s="6">
        <f t="shared" si="4"/>
        <v>6180000</v>
      </c>
      <c r="L40" s="1">
        <f t="shared" si="5"/>
        <v>0.66666666666666674</v>
      </c>
      <c r="M40" s="14">
        <v>0</v>
      </c>
      <c r="N40" s="13">
        <v>0</v>
      </c>
      <c r="O40" s="9"/>
    </row>
    <row r="41" spans="1:15" ht="60">
      <c r="A41" s="15" t="s">
        <v>122</v>
      </c>
      <c r="B41" s="16">
        <v>1098821595</v>
      </c>
      <c r="C41" s="16">
        <v>0</v>
      </c>
      <c r="D41" s="9" t="s">
        <v>182</v>
      </c>
      <c r="E41" s="16" t="s">
        <v>63</v>
      </c>
      <c r="F41" s="17">
        <v>45699</v>
      </c>
      <c r="G41" s="20">
        <v>45787</v>
      </c>
      <c r="H41" s="21">
        <v>15450000</v>
      </c>
      <c r="I41" s="21">
        <v>5150000</v>
      </c>
      <c r="J41" s="5">
        <f>3433333+5150000+1716667</f>
        <v>10300000</v>
      </c>
      <c r="K41" s="6">
        <f t="shared" si="4"/>
        <v>5150000</v>
      </c>
      <c r="L41" s="1">
        <f t="shared" si="5"/>
        <v>0.66666666666666674</v>
      </c>
      <c r="M41" s="14">
        <v>0</v>
      </c>
      <c r="N41" s="13">
        <v>0</v>
      </c>
      <c r="O41" s="9"/>
    </row>
    <row r="42" spans="1:15" ht="60">
      <c r="A42" s="15" t="s">
        <v>123</v>
      </c>
      <c r="B42" s="16">
        <v>52708089</v>
      </c>
      <c r="C42" s="16">
        <v>4</v>
      </c>
      <c r="D42" s="9" t="s">
        <v>183</v>
      </c>
      <c r="E42" s="16" t="s">
        <v>64</v>
      </c>
      <c r="F42" s="17">
        <v>45699</v>
      </c>
      <c r="G42" s="20">
        <v>45787</v>
      </c>
      <c r="H42" s="21">
        <v>26265000</v>
      </c>
      <c r="I42" s="21">
        <v>8755000</v>
      </c>
      <c r="J42" s="5">
        <f>5836667+8755000+2918333</f>
        <v>17510000</v>
      </c>
      <c r="K42" s="6">
        <f t="shared" si="4"/>
        <v>8755000</v>
      </c>
      <c r="L42" s="1">
        <f t="shared" si="5"/>
        <v>0.66666666666666674</v>
      </c>
      <c r="M42" s="14">
        <v>0</v>
      </c>
      <c r="N42" s="13">
        <v>0</v>
      </c>
      <c r="O42" s="9"/>
    </row>
    <row r="43" spans="1:15" ht="60">
      <c r="A43" s="15" t="s">
        <v>124</v>
      </c>
      <c r="B43" s="16">
        <v>1054990700</v>
      </c>
      <c r="C43" s="16">
        <v>1</v>
      </c>
      <c r="D43" s="9" t="s">
        <v>184</v>
      </c>
      <c r="E43" s="16" t="s">
        <v>65</v>
      </c>
      <c r="F43" s="17">
        <v>45699</v>
      </c>
      <c r="G43" s="20">
        <v>46022</v>
      </c>
      <c r="H43" s="21">
        <v>87893333</v>
      </c>
      <c r="I43" s="21">
        <v>8240000</v>
      </c>
      <c r="J43" s="5">
        <f>5493333+8240000+8240000+8240000+I43+I43</f>
        <v>46693333</v>
      </c>
      <c r="K43" s="6">
        <f t="shared" si="4"/>
        <v>41200000</v>
      </c>
      <c r="L43" s="1">
        <f t="shared" si="5"/>
        <v>0.53124999822227692</v>
      </c>
      <c r="M43" s="14">
        <v>0</v>
      </c>
      <c r="N43" s="13">
        <v>0</v>
      </c>
      <c r="O43" s="9"/>
    </row>
    <row r="44" spans="1:15" ht="60">
      <c r="A44" s="15" t="s">
        <v>125</v>
      </c>
      <c r="B44" s="16">
        <v>1100950750</v>
      </c>
      <c r="C44" s="16">
        <v>5</v>
      </c>
      <c r="D44" s="9" t="s">
        <v>185</v>
      </c>
      <c r="E44" s="16" t="s">
        <v>66</v>
      </c>
      <c r="F44" s="17">
        <v>45699</v>
      </c>
      <c r="G44" s="20">
        <v>45787</v>
      </c>
      <c r="H44" s="21">
        <v>23175000</v>
      </c>
      <c r="I44" s="21">
        <v>7725000</v>
      </c>
      <c r="J44" s="5">
        <f>5150000+7725000+7725000+2575000</f>
        <v>23175000</v>
      </c>
      <c r="K44" s="6">
        <f t="shared" si="4"/>
        <v>0</v>
      </c>
      <c r="L44" s="1">
        <f t="shared" si="5"/>
        <v>1</v>
      </c>
      <c r="M44" s="14">
        <v>0</v>
      </c>
      <c r="N44" s="13">
        <v>0</v>
      </c>
      <c r="O44" s="9"/>
    </row>
    <row r="45" spans="1:15" ht="60">
      <c r="A45" s="15" t="s">
        <v>126</v>
      </c>
      <c r="B45" s="16">
        <v>1020822526</v>
      </c>
      <c r="C45" s="16">
        <v>3</v>
      </c>
      <c r="D45" s="9" t="s">
        <v>186</v>
      </c>
      <c r="E45" s="16" t="s">
        <v>67</v>
      </c>
      <c r="F45" s="17">
        <v>45699</v>
      </c>
      <c r="G45" s="20">
        <v>45757</v>
      </c>
      <c r="H45" s="21">
        <v>9270000</v>
      </c>
      <c r="I45" s="21">
        <v>4635000</v>
      </c>
      <c r="J45" s="5">
        <f>3090000+4635000+1545000</f>
        <v>9270000</v>
      </c>
      <c r="K45" s="6">
        <f t="shared" si="4"/>
        <v>0</v>
      </c>
      <c r="L45" s="1">
        <f t="shared" si="5"/>
        <v>1</v>
      </c>
      <c r="M45" s="14">
        <v>0</v>
      </c>
      <c r="N45" s="13">
        <v>0</v>
      </c>
      <c r="O45" s="9"/>
    </row>
    <row r="46" spans="1:15" ht="105">
      <c r="A46" s="15" t="s">
        <v>127</v>
      </c>
      <c r="B46" s="16">
        <v>1140864226</v>
      </c>
      <c r="C46" s="16">
        <v>4</v>
      </c>
      <c r="D46" s="9" t="s">
        <v>187</v>
      </c>
      <c r="E46" s="16" t="s">
        <v>68</v>
      </c>
      <c r="F46" s="17">
        <v>45700</v>
      </c>
      <c r="G46" s="20">
        <v>45758</v>
      </c>
      <c r="H46" s="21">
        <v>16480000</v>
      </c>
      <c r="I46" s="21">
        <v>8240000</v>
      </c>
      <c r="J46" s="5">
        <f>5218667+8240000+3021333</f>
        <v>16480000</v>
      </c>
      <c r="K46" s="6">
        <f t="shared" si="4"/>
        <v>0</v>
      </c>
      <c r="L46" s="1">
        <f t="shared" si="5"/>
        <v>1</v>
      </c>
      <c r="M46" s="14">
        <v>0</v>
      </c>
      <c r="N46" s="13">
        <v>0</v>
      </c>
      <c r="O46" s="9"/>
    </row>
    <row r="47" spans="1:15" ht="75">
      <c r="A47" s="15" t="s">
        <v>128</v>
      </c>
      <c r="B47" s="16">
        <v>1033738130</v>
      </c>
      <c r="C47" s="16">
        <v>9</v>
      </c>
      <c r="D47" s="9" t="s">
        <v>188</v>
      </c>
      <c r="E47" s="16" t="s">
        <v>69</v>
      </c>
      <c r="F47" s="17">
        <v>45701</v>
      </c>
      <c r="G47" s="20">
        <v>45759</v>
      </c>
      <c r="H47" s="21">
        <v>16480000</v>
      </c>
      <c r="I47" s="21">
        <v>8240000</v>
      </c>
      <c r="J47" s="5">
        <f>4944000+11536000</f>
        <v>16480000</v>
      </c>
      <c r="K47" s="6">
        <f t="shared" si="4"/>
        <v>0</v>
      </c>
      <c r="L47" s="1">
        <f t="shared" si="5"/>
        <v>1</v>
      </c>
      <c r="M47" s="14">
        <v>0</v>
      </c>
      <c r="N47" s="13">
        <v>0</v>
      </c>
      <c r="O47" s="9"/>
    </row>
    <row r="48" spans="1:15" ht="60">
      <c r="A48" s="15" t="s">
        <v>129</v>
      </c>
      <c r="B48" s="16">
        <v>79280777</v>
      </c>
      <c r="C48" s="16">
        <v>1</v>
      </c>
      <c r="D48" s="9" t="s">
        <v>189</v>
      </c>
      <c r="E48" s="16" t="s">
        <v>70</v>
      </c>
      <c r="F48" s="17">
        <v>45701</v>
      </c>
      <c r="G48" s="20">
        <v>46022</v>
      </c>
      <c r="H48" s="21">
        <v>109180000</v>
      </c>
      <c r="I48" s="21">
        <v>10300000</v>
      </c>
      <c r="J48" s="5">
        <f>6180000+10300000+10300000+I48+I48</f>
        <v>47380000</v>
      </c>
      <c r="K48" s="6">
        <f t="shared" si="4"/>
        <v>61800000</v>
      </c>
      <c r="L48" s="1">
        <f t="shared" si="5"/>
        <v>0.43396226415094341</v>
      </c>
      <c r="M48" s="14">
        <v>0</v>
      </c>
      <c r="N48" s="13">
        <v>0</v>
      </c>
      <c r="O48" s="9"/>
    </row>
    <row r="49" spans="1:15" ht="105">
      <c r="A49" s="15" t="s">
        <v>130</v>
      </c>
      <c r="B49" s="16">
        <v>37555335</v>
      </c>
      <c r="C49" s="16">
        <v>9</v>
      </c>
      <c r="D49" s="9" t="s">
        <v>190</v>
      </c>
      <c r="E49" s="16" t="s">
        <v>71</v>
      </c>
      <c r="F49" s="17">
        <v>45700</v>
      </c>
      <c r="G49" s="20">
        <v>45758</v>
      </c>
      <c r="H49" s="21">
        <v>17510000</v>
      </c>
      <c r="I49" s="21">
        <v>8755000</v>
      </c>
      <c r="J49" s="5">
        <f>5544833+8755000+3210167</f>
        <v>17510000</v>
      </c>
      <c r="K49" s="6">
        <f t="shared" si="4"/>
        <v>0</v>
      </c>
      <c r="L49" s="1">
        <f t="shared" si="5"/>
        <v>1</v>
      </c>
      <c r="M49" s="14">
        <v>0</v>
      </c>
      <c r="N49" s="13">
        <v>0</v>
      </c>
      <c r="O49" s="9"/>
    </row>
    <row r="50" spans="1:15" ht="60">
      <c r="A50" s="15" t="s">
        <v>131</v>
      </c>
      <c r="B50" s="16">
        <v>1128431117</v>
      </c>
      <c r="C50" s="16">
        <v>8</v>
      </c>
      <c r="D50" s="9" t="s">
        <v>191</v>
      </c>
      <c r="E50" s="16" t="s">
        <v>72</v>
      </c>
      <c r="F50" s="17">
        <v>45699</v>
      </c>
      <c r="G50" s="20">
        <v>45787</v>
      </c>
      <c r="H50" s="21">
        <v>11124000</v>
      </c>
      <c r="I50" s="21">
        <v>3708000</v>
      </c>
      <c r="J50" s="5">
        <f>2472000+3708000+1236000</f>
        <v>7416000</v>
      </c>
      <c r="K50" s="6">
        <f t="shared" si="4"/>
        <v>3708000</v>
      </c>
      <c r="L50" s="1">
        <f t="shared" si="5"/>
        <v>0.66666666666666674</v>
      </c>
      <c r="M50" s="14">
        <v>0</v>
      </c>
      <c r="N50" s="13">
        <v>0</v>
      </c>
      <c r="O50" s="9"/>
    </row>
    <row r="51" spans="1:15" ht="105">
      <c r="A51" s="15" t="s">
        <v>132</v>
      </c>
      <c r="B51" s="16">
        <v>79509918</v>
      </c>
      <c r="C51" s="16">
        <v>1</v>
      </c>
      <c r="D51" s="9" t="s">
        <v>192</v>
      </c>
      <c r="E51" s="16" t="s">
        <v>73</v>
      </c>
      <c r="F51" s="17">
        <v>45700</v>
      </c>
      <c r="G51" s="20">
        <v>45787</v>
      </c>
      <c r="H51" s="21">
        <v>13905000</v>
      </c>
      <c r="I51" s="21">
        <v>4635000</v>
      </c>
      <c r="J51" s="5">
        <f>2935500+4635000+4635000+1699500</f>
        <v>13905000</v>
      </c>
      <c r="K51" s="6">
        <f t="shared" si="4"/>
        <v>0</v>
      </c>
      <c r="L51" s="1">
        <f t="shared" si="5"/>
        <v>1</v>
      </c>
      <c r="M51" s="14">
        <v>0</v>
      </c>
      <c r="N51" s="13">
        <v>0</v>
      </c>
      <c r="O51" s="9"/>
    </row>
    <row r="52" spans="1:15" ht="75">
      <c r="A52" s="15" t="s">
        <v>133</v>
      </c>
      <c r="B52" s="16">
        <v>1022392990</v>
      </c>
      <c r="C52" s="16">
        <v>9</v>
      </c>
      <c r="D52" s="9" t="s">
        <v>193</v>
      </c>
      <c r="E52" s="16" t="s">
        <v>74</v>
      </c>
      <c r="F52" s="17">
        <v>45702</v>
      </c>
      <c r="G52" s="20">
        <v>45790</v>
      </c>
      <c r="H52" s="21">
        <v>9900000</v>
      </c>
      <c r="I52" s="21">
        <v>3300000</v>
      </c>
      <c r="J52" s="5">
        <f>1870000+3300000+3300000+1430000</f>
        <v>9900000</v>
      </c>
      <c r="K52" s="6">
        <f t="shared" si="4"/>
        <v>0</v>
      </c>
      <c r="L52" s="1">
        <f t="shared" si="5"/>
        <v>1</v>
      </c>
      <c r="M52" s="14">
        <v>0</v>
      </c>
      <c r="N52" s="13">
        <v>0</v>
      </c>
      <c r="O52" s="9"/>
    </row>
    <row r="53" spans="1:15" ht="90">
      <c r="A53" s="15" t="s">
        <v>134</v>
      </c>
      <c r="B53" s="16">
        <v>1070948522</v>
      </c>
      <c r="C53" s="16">
        <v>8</v>
      </c>
      <c r="D53" s="9" t="s">
        <v>194</v>
      </c>
      <c r="E53" s="16" t="s">
        <v>75</v>
      </c>
      <c r="F53" s="17">
        <v>45702</v>
      </c>
      <c r="G53" s="20">
        <v>45759</v>
      </c>
      <c r="H53" s="21">
        <v>13390000</v>
      </c>
      <c r="I53" s="21">
        <v>6695000</v>
      </c>
      <c r="J53" s="5">
        <f>3793833+6695000+2901167</f>
        <v>13390000</v>
      </c>
      <c r="K53" s="6">
        <f t="shared" si="4"/>
        <v>0</v>
      </c>
      <c r="L53" s="1">
        <f t="shared" si="5"/>
        <v>1</v>
      </c>
      <c r="M53" s="14">
        <v>0</v>
      </c>
      <c r="N53" s="13">
        <v>0</v>
      </c>
      <c r="O53" s="9"/>
    </row>
    <row r="54" spans="1:15" ht="60">
      <c r="A54" s="15" t="s">
        <v>135</v>
      </c>
      <c r="B54" s="16">
        <v>1024600527</v>
      </c>
      <c r="C54" s="16">
        <v>2</v>
      </c>
      <c r="D54" s="9" t="s">
        <v>195</v>
      </c>
      <c r="E54" s="16" t="s">
        <v>76</v>
      </c>
      <c r="F54" s="17">
        <v>45712</v>
      </c>
      <c r="G54" s="20">
        <v>45800</v>
      </c>
      <c r="H54" s="21">
        <v>9900000</v>
      </c>
      <c r="I54" s="21">
        <v>3300000</v>
      </c>
      <c r="J54" s="5">
        <f>770000+3300000+3300000+2530000</f>
        <v>9900000</v>
      </c>
      <c r="K54" s="6">
        <f t="shared" si="4"/>
        <v>0</v>
      </c>
      <c r="L54" s="1">
        <f t="shared" si="5"/>
        <v>1</v>
      </c>
      <c r="M54" s="14">
        <v>0</v>
      </c>
      <c r="N54" s="13">
        <v>0</v>
      </c>
      <c r="O54" s="9"/>
    </row>
    <row r="55" spans="1:15" ht="75">
      <c r="A55" s="15" t="s">
        <v>136</v>
      </c>
      <c r="B55" s="16">
        <v>1066182876</v>
      </c>
      <c r="C55" s="16">
        <v>6</v>
      </c>
      <c r="D55" s="9" t="s">
        <v>196</v>
      </c>
      <c r="E55" s="16" t="s">
        <v>77</v>
      </c>
      <c r="F55" s="17">
        <v>45701</v>
      </c>
      <c r="G55" s="20">
        <v>46022</v>
      </c>
      <c r="H55" s="21">
        <v>92803000</v>
      </c>
      <c r="I55" s="21">
        <v>8755000</v>
      </c>
      <c r="J55" s="5">
        <f>5253000+8755000+8755000+8755000+I55+I55</f>
        <v>49028000</v>
      </c>
      <c r="K55" s="6">
        <f t="shared" si="4"/>
        <v>43775000</v>
      </c>
      <c r="L55" s="1">
        <f t="shared" si="5"/>
        <v>0.52830188679245282</v>
      </c>
      <c r="M55" s="14">
        <v>0</v>
      </c>
      <c r="N55" s="13">
        <v>0</v>
      </c>
      <c r="O55" s="9"/>
    </row>
    <row r="56" spans="1:15" ht="90">
      <c r="A56" s="15" t="s">
        <v>137</v>
      </c>
      <c r="B56" s="16">
        <v>1049628701</v>
      </c>
      <c r="C56" s="16">
        <v>0</v>
      </c>
      <c r="D56" s="9" t="s">
        <v>197</v>
      </c>
      <c r="E56" s="16" t="s">
        <v>78</v>
      </c>
      <c r="F56" s="17">
        <v>45702</v>
      </c>
      <c r="G56" s="20">
        <v>45943</v>
      </c>
      <c r="H56" s="21">
        <v>70040000</v>
      </c>
      <c r="I56" s="21">
        <v>8755000</v>
      </c>
      <c r="J56" s="5">
        <f>4961167+8755000+8755000+I56+I56</f>
        <v>39981167</v>
      </c>
      <c r="K56" s="6">
        <f t="shared" si="4"/>
        <v>30058833</v>
      </c>
      <c r="L56" s="1">
        <f t="shared" si="5"/>
        <v>0.57083333809251857</v>
      </c>
      <c r="M56" s="14">
        <v>0</v>
      </c>
      <c r="N56" s="13">
        <v>0</v>
      </c>
      <c r="O56" s="9"/>
    </row>
    <row r="57" spans="1:15" ht="90">
      <c r="A57" s="15" t="s">
        <v>138</v>
      </c>
      <c r="B57" s="16">
        <v>1070918764</v>
      </c>
      <c r="C57" s="16">
        <v>5</v>
      </c>
      <c r="D57" s="9" t="s">
        <v>198</v>
      </c>
      <c r="E57" s="16" t="s">
        <v>79</v>
      </c>
      <c r="F57" s="17">
        <v>45701</v>
      </c>
      <c r="G57" s="20">
        <v>45789</v>
      </c>
      <c r="H57" s="21">
        <v>13905000</v>
      </c>
      <c r="I57" s="21">
        <v>4635000</v>
      </c>
      <c r="J57" s="5">
        <f>2781000+4635000+1854000</f>
        <v>9270000</v>
      </c>
      <c r="K57" s="6">
        <f t="shared" si="4"/>
        <v>4635000</v>
      </c>
      <c r="L57" s="1">
        <f t="shared" si="5"/>
        <v>0.66666666666666674</v>
      </c>
      <c r="M57" s="14">
        <v>0</v>
      </c>
      <c r="N57" s="13">
        <v>0</v>
      </c>
      <c r="O57" s="9"/>
    </row>
    <row r="58" spans="1:15" ht="90">
      <c r="A58" s="15" t="s">
        <v>139</v>
      </c>
      <c r="B58" s="16">
        <v>79595486</v>
      </c>
      <c r="C58" s="16">
        <v>6</v>
      </c>
      <c r="D58" s="9" t="s">
        <v>199</v>
      </c>
      <c r="E58" s="16" t="s">
        <v>80</v>
      </c>
      <c r="F58" s="17">
        <v>45701</v>
      </c>
      <c r="G58" s="20">
        <v>45760</v>
      </c>
      <c r="H58" s="21">
        <v>17510000</v>
      </c>
      <c r="I58" s="21">
        <v>8755000</v>
      </c>
      <c r="J58" s="5">
        <v>5253000</v>
      </c>
      <c r="K58" s="6">
        <f t="shared" si="4"/>
        <v>12257000</v>
      </c>
      <c r="L58" s="1">
        <f t="shared" si="5"/>
        <v>0.30000000000000004</v>
      </c>
      <c r="M58" s="14">
        <v>0</v>
      </c>
      <c r="N58" s="13">
        <v>0</v>
      </c>
      <c r="O58" s="9"/>
    </row>
    <row r="59" spans="1:15" ht="75">
      <c r="A59" s="15" t="s">
        <v>140</v>
      </c>
      <c r="B59" s="16">
        <v>1030656140</v>
      </c>
      <c r="C59" s="16">
        <v>9</v>
      </c>
      <c r="D59" s="9" t="s">
        <v>200</v>
      </c>
      <c r="E59" s="16" t="s">
        <v>81</v>
      </c>
      <c r="F59" s="17">
        <v>45708</v>
      </c>
      <c r="G59" s="20">
        <v>45766</v>
      </c>
      <c r="H59" s="21">
        <v>13390000</v>
      </c>
      <c r="I59" s="21">
        <v>6695000</v>
      </c>
      <c r="J59" s="5">
        <f>2564833+10825167</f>
        <v>13390000</v>
      </c>
      <c r="K59" s="6">
        <f t="shared" si="4"/>
        <v>0</v>
      </c>
      <c r="L59" s="1">
        <f t="shared" si="5"/>
        <v>1</v>
      </c>
      <c r="M59" s="14">
        <v>0</v>
      </c>
      <c r="N59" s="13">
        <v>0</v>
      </c>
      <c r="O59" s="9"/>
    </row>
    <row r="60" spans="1:15" ht="75">
      <c r="A60" s="15" t="s">
        <v>141</v>
      </c>
      <c r="B60" s="16">
        <v>52372465</v>
      </c>
      <c r="C60" s="16">
        <v>6</v>
      </c>
      <c r="D60" s="9" t="s">
        <v>201</v>
      </c>
      <c r="E60" s="16" t="s">
        <v>82</v>
      </c>
      <c r="F60" s="17">
        <v>45701</v>
      </c>
      <c r="G60" s="20">
        <v>45789</v>
      </c>
      <c r="H60" s="21">
        <v>9900000</v>
      </c>
      <c r="I60" s="21">
        <v>3300000</v>
      </c>
      <c r="J60" s="5">
        <f>1980000+3300000+3300000</f>
        <v>8580000</v>
      </c>
      <c r="K60" s="6">
        <f t="shared" si="4"/>
        <v>1320000</v>
      </c>
      <c r="L60" s="1">
        <f t="shared" si="5"/>
        <v>0.8666666666666667</v>
      </c>
      <c r="M60" s="14">
        <v>0</v>
      </c>
      <c r="N60" s="13">
        <v>0</v>
      </c>
      <c r="O60" s="9"/>
    </row>
    <row r="61" spans="1:15" ht="75">
      <c r="A61" s="15" t="s">
        <v>142</v>
      </c>
      <c r="B61" s="16">
        <v>79640179</v>
      </c>
      <c r="C61" s="16">
        <v>2</v>
      </c>
      <c r="D61" s="9" t="s">
        <v>202</v>
      </c>
      <c r="E61" s="16" t="s">
        <v>83</v>
      </c>
      <c r="F61" s="17">
        <v>45709</v>
      </c>
      <c r="G61" s="20">
        <v>45767</v>
      </c>
      <c r="H61" s="21">
        <v>16480000</v>
      </c>
      <c r="I61" s="21">
        <v>8240000</v>
      </c>
      <c r="J61" s="5">
        <f>3021333+8240000</f>
        <v>11261333</v>
      </c>
      <c r="K61" s="6">
        <f t="shared" si="4"/>
        <v>5218667</v>
      </c>
      <c r="L61" s="1">
        <f t="shared" si="5"/>
        <v>0.68333331310679613</v>
      </c>
      <c r="M61" s="14">
        <v>0</v>
      </c>
      <c r="N61" s="13">
        <v>0</v>
      </c>
      <c r="O61" s="9"/>
    </row>
    <row r="62" spans="1:15" ht="45">
      <c r="A62" s="15" t="s">
        <v>143</v>
      </c>
      <c r="B62" s="16">
        <v>79985524</v>
      </c>
      <c r="C62" s="16">
        <v>1</v>
      </c>
      <c r="D62" s="9" t="s">
        <v>203</v>
      </c>
      <c r="E62" s="16" t="s">
        <v>84</v>
      </c>
      <c r="F62" s="17">
        <v>45702</v>
      </c>
      <c r="G62" s="20">
        <v>45760</v>
      </c>
      <c r="H62" s="21">
        <v>6600000</v>
      </c>
      <c r="I62" s="21">
        <v>3300000</v>
      </c>
      <c r="J62" s="5">
        <f>1870000+3300000+1430000</f>
        <v>6600000</v>
      </c>
      <c r="K62" s="6">
        <f t="shared" si="4"/>
        <v>0</v>
      </c>
      <c r="L62" s="1">
        <f t="shared" si="5"/>
        <v>1</v>
      </c>
      <c r="M62" s="14">
        <v>0</v>
      </c>
      <c r="N62" s="13">
        <v>0</v>
      </c>
      <c r="O62" s="9"/>
    </row>
    <row r="63" spans="1:15" ht="45">
      <c r="A63" s="15" t="s">
        <v>144</v>
      </c>
      <c r="B63" s="16">
        <v>1022374419</v>
      </c>
      <c r="C63" s="16">
        <v>8</v>
      </c>
      <c r="D63" s="9" t="s">
        <v>204</v>
      </c>
      <c r="E63" s="16" t="s">
        <v>85</v>
      </c>
      <c r="F63" s="17">
        <v>45709</v>
      </c>
      <c r="G63" s="20">
        <v>45802</v>
      </c>
      <c r="H63" s="21">
        <v>26265000</v>
      </c>
      <c r="I63" s="21">
        <v>8755000</v>
      </c>
      <c r="J63" s="5">
        <f>2918333+I63+8755000+5836667</f>
        <v>26265000</v>
      </c>
      <c r="K63" s="6">
        <f t="shared" si="4"/>
        <v>0</v>
      </c>
      <c r="L63" s="1">
        <f t="shared" si="5"/>
        <v>1</v>
      </c>
      <c r="M63" s="14">
        <v>0</v>
      </c>
      <c r="N63" s="13">
        <v>0</v>
      </c>
      <c r="O63" s="9"/>
    </row>
    <row r="64" spans="1:15" ht="90">
      <c r="A64" s="15" t="s">
        <v>145</v>
      </c>
      <c r="B64" s="16">
        <v>1000515195</v>
      </c>
      <c r="C64" s="16">
        <v>1</v>
      </c>
      <c r="D64" s="9" t="s">
        <v>205</v>
      </c>
      <c r="E64" s="16" t="s">
        <v>86</v>
      </c>
      <c r="F64" s="17">
        <v>45712</v>
      </c>
      <c r="G64" s="20">
        <v>45800</v>
      </c>
      <c r="H64" s="21">
        <v>13905000</v>
      </c>
      <c r="I64" s="21">
        <v>4635000</v>
      </c>
      <c r="J64" s="5">
        <f>1081500+I64+4635000+3553500</f>
        <v>13905000</v>
      </c>
      <c r="K64" s="6">
        <f t="shared" si="4"/>
        <v>0</v>
      </c>
      <c r="L64" s="1">
        <f t="shared" si="5"/>
        <v>1</v>
      </c>
      <c r="M64" s="14">
        <v>0</v>
      </c>
      <c r="N64" s="13">
        <v>0</v>
      </c>
      <c r="O64" s="9"/>
    </row>
    <row r="65" spans="1:15" ht="60">
      <c r="A65" s="15" t="s">
        <v>146</v>
      </c>
      <c r="B65" s="16">
        <v>1085309502</v>
      </c>
      <c r="C65" s="16">
        <v>4</v>
      </c>
      <c r="D65" s="9" t="s">
        <v>206</v>
      </c>
      <c r="E65" s="16" t="s">
        <v>87</v>
      </c>
      <c r="F65" s="17">
        <v>45707</v>
      </c>
      <c r="G65" s="20">
        <v>45765</v>
      </c>
      <c r="H65" s="21">
        <v>8549000</v>
      </c>
      <c r="I65" s="21">
        <v>4274500</v>
      </c>
      <c r="J65" s="5">
        <f>1709800+I65+2564700</f>
        <v>8549000</v>
      </c>
      <c r="K65" s="6">
        <f t="shared" si="4"/>
        <v>0</v>
      </c>
      <c r="L65" s="1">
        <f t="shared" si="5"/>
        <v>1</v>
      </c>
      <c r="M65" s="14">
        <v>0</v>
      </c>
      <c r="N65" s="13">
        <v>0</v>
      </c>
      <c r="O65" s="9"/>
    </row>
    <row r="66" spans="1:15" ht="75">
      <c r="A66" s="15" t="s">
        <v>239</v>
      </c>
      <c r="B66" s="16">
        <v>1014267307</v>
      </c>
      <c r="C66" s="16">
        <v>4</v>
      </c>
      <c r="D66" s="9" t="s">
        <v>237</v>
      </c>
      <c r="E66" s="16" t="s">
        <v>238</v>
      </c>
      <c r="F66" s="17">
        <v>45719</v>
      </c>
      <c r="G66" s="20">
        <v>45810</v>
      </c>
      <c r="H66" s="21">
        <v>9900000</v>
      </c>
      <c r="I66" s="21">
        <v>3300000</v>
      </c>
      <c r="J66" s="5">
        <f>I66+3080000+3300000+3300000+220000</f>
        <v>13200000</v>
      </c>
      <c r="K66" s="6">
        <f t="shared" si="4"/>
        <v>-3300000</v>
      </c>
      <c r="L66" s="1">
        <f>1-(K66/H66)</f>
        <v>1.3333333333333333</v>
      </c>
      <c r="M66" s="14">
        <v>0</v>
      </c>
      <c r="N66" s="13">
        <v>0</v>
      </c>
      <c r="O66" s="9"/>
    </row>
    <row r="67" spans="1:15" ht="45">
      <c r="A67" s="15" t="s">
        <v>147</v>
      </c>
      <c r="B67" s="16">
        <v>53081081</v>
      </c>
      <c r="C67" s="16">
        <v>6</v>
      </c>
      <c r="D67" s="9" t="s">
        <v>207</v>
      </c>
      <c r="E67" s="16" t="s">
        <v>88</v>
      </c>
      <c r="F67" s="17">
        <v>45706</v>
      </c>
      <c r="G67" s="20">
        <v>45763</v>
      </c>
      <c r="H67" s="21">
        <v>13390000</v>
      </c>
      <c r="I67" s="21">
        <v>6695000</v>
      </c>
      <c r="J67" s="5">
        <f>2901167+I67+3793833</f>
        <v>13390000</v>
      </c>
      <c r="K67" s="6">
        <f t="shared" si="4"/>
        <v>0</v>
      </c>
      <c r="L67" s="1">
        <f t="shared" si="5"/>
        <v>1</v>
      </c>
      <c r="M67" s="14">
        <v>0</v>
      </c>
      <c r="N67" s="13">
        <v>0</v>
      </c>
      <c r="O67" s="9"/>
    </row>
    <row r="68" spans="1:15" ht="60">
      <c r="A68" s="15" t="s">
        <v>148</v>
      </c>
      <c r="B68" s="16">
        <v>1023902292</v>
      </c>
      <c r="C68" s="16">
        <v>1</v>
      </c>
      <c r="D68" s="9" t="s">
        <v>208</v>
      </c>
      <c r="E68" s="16" t="s">
        <v>89</v>
      </c>
      <c r="F68" s="17">
        <v>45707</v>
      </c>
      <c r="G68" s="20">
        <v>45795</v>
      </c>
      <c r="H68" s="21">
        <v>23175000</v>
      </c>
      <c r="I68" s="21">
        <v>7725000</v>
      </c>
      <c r="J68" s="5">
        <f>3090000+I68+7725000+4635000</f>
        <v>23175000</v>
      </c>
      <c r="K68" s="6">
        <f t="shared" si="4"/>
        <v>0</v>
      </c>
      <c r="L68" s="1">
        <f t="shared" si="5"/>
        <v>1</v>
      </c>
      <c r="M68" s="14">
        <v>0</v>
      </c>
      <c r="N68" s="13">
        <v>0</v>
      </c>
      <c r="O68" s="9"/>
    </row>
    <row r="69" spans="1:15" ht="45">
      <c r="A69" s="15" t="s">
        <v>149</v>
      </c>
      <c r="B69" s="16">
        <v>1070956438</v>
      </c>
      <c r="C69" s="16">
        <v>0</v>
      </c>
      <c r="D69" s="9" t="s">
        <v>209</v>
      </c>
      <c r="E69" s="16" t="s">
        <v>90</v>
      </c>
      <c r="F69" s="17">
        <v>45707</v>
      </c>
      <c r="G69" s="20">
        <v>45795</v>
      </c>
      <c r="H69" s="21">
        <v>23175000</v>
      </c>
      <c r="I69" s="21">
        <v>7725000</v>
      </c>
      <c r="J69" s="5">
        <f>3090000+I69+7725000+4635000</f>
        <v>23175000</v>
      </c>
      <c r="K69" s="6">
        <f t="shared" si="4"/>
        <v>0</v>
      </c>
      <c r="L69" s="1">
        <f t="shared" si="5"/>
        <v>1</v>
      </c>
      <c r="M69" s="14">
        <v>0</v>
      </c>
      <c r="N69" s="13">
        <v>0</v>
      </c>
      <c r="O69" s="9"/>
    </row>
    <row r="70" spans="1:15" ht="60">
      <c r="A70" s="15" t="s">
        <v>150</v>
      </c>
      <c r="B70" s="16">
        <v>80097030</v>
      </c>
      <c r="C70" s="16">
        <v>9</v>
      </c>
      <c r="D70" s="9" t="s">
        <v>210</v>
      </c>
      <c r="E70" s="16" t="s">
        <v>91</v>
      </c>
      <c r="F70" s="17">
        <v>45709</v>
      </c>
      <c r="G70" s="20">
        <v>46022</v>
      </c>
      <c r="H70" s="21">
        <v>90468333</v>
      </c>
      <c r="I70" s="21">
        <v>8755000</v>
      </c>
      <c r="J70" s="5">
        <f>I70+2918333+8755000+8755000+I70+I70</f>
        <v>46693333</v>
      </c>
      <c r="K70" s="6">
        <f t="shared" si="4"/>
        <v>43775000</v>
      </c>
      <c r="L70" s="1">
        <f t="shared" si="5"/>
        <v>0.51612903047522718</v>
      </c>
      <c r="M70" s="14">
        <v>0</v>
      </c>
      <c r="N70" s="13">
        <v>0</v>
      </c>
      <c r="O70" s="9"/>
    </row>
    <row r="71" spans="1:15" ht="75">
      <c r="A71" s="15" t="s">
        <v>151</v>
      </c>
      <c r="B71" s="16">
        <v>13362123</v>
      </c>
      <c r="C71" s="16">
        <v>8</v>
      </c>
      <c r="D71" s="9" t="s">
        <v>211</v>
      </c>
      <c r="E71" s="16" t="s">
        <v>92</v>
      </c>
      <c r="F71" s="17">
        <v>45708</v>
      </c>
      <c r="G71" s="20">
        <v>46022</v>
      </c>
      <c r="H71" s="21">
        <v>90760167</v>
      </c>
      <c r="I71" s="21">
        <v>8755000</v>
      </c>
      <c r="J71" s="5">
        <f>I71+3210167+8755000+8755000+I71+I71</f>
        <v>46985167</v>
      </c>
      <c r="K71" s="6">
        <f t="shared" si="4"/>
        <v>43775000</v>
      </c>
      <c r="L71" s="1">
        <f t="shared" si="5"/>
        <v>0.5176848892311976</v>
      </c>
      <c r="M71" s="14">
        <v>0</v>
      </c>
      <c r="N71" s="13">
        <v>0</v>
      </c>
      <c r="O71" s="9"/>
    </row>
    <row r="72" spans="1:15" ht="75">
      <c r="A72" s="15" t="s">
        <v>152</v>
      </c>
      <c r="B72" s="16">
        <v>1022422640</v>
      </c>
      <c r="C72" s="16">
        <v>6</v>
      </c>
      <c r="D72" s="9" t="s">
        <v>212</v>
      </c>
      <c r="E72" s="16" t="s">
        <v>93</v>
      </c>
      <c r="F72" s="17">
        <v>45709</v>
      </c>
      <c r="G72" s="20">
        <v>45797</v>
      </c>
      <c r="H72" s="21">
        <v>9240000</v>
      </c>
      <c r="I72" s="21">
        <v>3300000</v>
      </c>
      <c r="J72" s="5">
        <f>1100000+3300000+3300000+1540000+1540000</f>
        <v>10780000</v>
      </c>
      <c r="K72" s="6">
        <f>H72-J72</f>
        <v>-1540000</v>
      </c>
      <c r="L72" s="1">
        <f t="shared" si="5"/>
        <v>1.1666666666666667</v>
      </c>
      <c r="M72" s="14">
        <v>1</v>
      </c>
      <c r="N72" s="13">
        <v>0</v>
      </c>
      <c r="O72" s="9" t="s">
        <v>377</v>
      </c>
    </row>
    <row r="73" spans="1:15" ht="90">
      <c r="A73" s="15" t="s">
        <v>153</v>
      </c>
      <c r="B73" s="16">
        <v>1090428817</v>
      </c>
      <c r="C73" s="16">
        <v>7</v>
      </c>
      <c r="D73" s="9" t="s">
        <v>213</v>
      </c>
      <c r="E73" s="16" t="s">
        <v>94</v>
      </c>
      <c r="F73" s="17">
        <v>45709</v>
      </c>
      <c r="G73" s="20">
        <v>45797</v>
      </c>
      <c r="H73" s="21">
        <v>13905000</v>
      </c>
      <c r="I73" s="21">
        <v>4635000</v>
      </c>
      <c r="J73" s="5">
        <f>1545000+4635000+4635000+2163000</f>
        <v>12978000</v>
      </c>
      <c r="K73" s="6">
        <f t="shared" si="4"/>
        <v>927000</v>
      </c>
      <c r="L73" s="1">
        <f t="shared" si="5"/>
        <v>0.93333333333333335</v>
      </c>
      <c r="M73" s="14">
        <v>0</v>
      </c>
      <c r="N73" s="13">
        <v>0</v>
      </c>
      <c r="O73" s="9"/>
    </row>
    <row r="74" spans="1:15" ht="45">
      <c r="A74" s="15" t="s">
        <v>154</v>
      </c>
      <c r="B74" s="16">
        <v>1101873530</v>
      </c>
      <c r="C74" s="16">
        <v>5</v>
      </c>
      <c r="D74" s="9" t="s">
        <v>214</v>
      </c>
      <c r="E74" s="16" t="s">
        <v>95</v>
      </c>
      <c r="F74" s="17">
        <v>45709</v>
      </c>
      <c r="G74" s="20">
        <v>46022</v>
      </c>
      <c r="H74" s="21">
        <v>34100000</v>
      </c>
      <c r="I74" s="21">
        <v>3300000</v>
      </c>
      <c r="J74" s="5">
        <f>1100000+I74+3300000+3300000+I74+I74</f>
        <v>17600000</v>
      </c>
      <c r="K74" s="6">
        <f t="shared" si="4"/>
        <v>16500000</v>
      </c>
      <c r="L74" s="1">
        <f t="shared" si="5"/>
        <v>0.5161290322580645</v>
      </c>
      <c r="M74" s="14">
        <v>0</v>
      </c>
      <c r="N74" s="13">
        <v>0</v>
      </c>
      <c r="O74" s="9"/>
    </row>
    <row r="75" spans="1:15" ht="105">
      <c r="A75" s="15" t="s">
        <v>155</v>
      </c>
      <c r="B75" s="16">
        <v>60344235</v>
      </c>
      <c r="C75" s="16">
        <v>9</v>
      </c>
      <c r="D75" s="9" t="s">
        <v>215</v>
      </c>
      <c r="E75" s="16" t="s">
        <v>96</v>
      </c>
      <c r="F75" s="17">
        <v>45709</v>
      </c>
      <c r="G75" s="20">
        <v>45767</v>
      </c>
      <c r="H75" s="21">
        <v>15450000</v>
      </c>
      <c r="I75" s="21">
        <v>7725000</v>
      </c>
      <c r="J75" s="5">
        <f>2575000+I75+5150000</f>
        <v>15450000</v>
      </c>
      <c r="K75" s="6">
        <f t="shared" si="4"/>
        <v>0</v>
      </c>
      <c r="L75" s="1">
        <f t="shared" si="5"/>
        <v>1</v>
      </c>
      <c r="M75" s="14">
        <v>0</v>
      </c>
      <c r="N75" s="13">
        <v>0</v>
      </c>
      <c r="O75" s="9"/>
    </row>
    <row r="76" spans="1:15" ht="75">
      <c r="A76" s="15" t="s">
        <v>156</v>
      </c>
      <c r="B76" s="16">
        <v>1010218439</v>
      </c>
      <c r="C76" s="16">
        <v>4</v>
      </c>
      <c r="D76" s="9" t="s">
        <v>216</v>
      </c>
      <c r="E76" s="16" t="s">
        <v>97</v>
      </c>
      <c r="F76" s="17">
        <v>45709</v>
      </c>
      <c r="G76" s="20">
        <v>45767</v>
      </c>
      <c r="H76" s="21">
        <v>15450000</v>
      </c>
      <c r="I76" s="21">
        <v>7725000</v>
      </c>
      <c r="J76" s="5">
        <f>2575000+I76+5150000</f>
        <v>15450000</v>
      </c>
      <c r="K76" s="6">
        <f t="shared" si="4"/>
        <v>0</v>
      </c>
      <c r="L76" s="1">
        <f t="shared" si="5"/>
        <v>1</v>
      </c>
      <c r="M76" s="14">
        <v>0</v>
      </c>
      <c r="N76" s="13">
        <v>0</v>
      </c>
      <c r="O76" s="9"/>
    </row>
    <row r="77" spans="1:15" ht="75">
      <c r="A77" s="15" t="s">
        <v>157</v>
      </c>
      <c r="B77" s="16">
        <v>52996334</v>
      </c>
      <c r="C77" s="16">
        <v>8</v>
      </c>
      <c r="D77" s="9" t="s">
        <v>217</v>
      </c>
      <c r="E77" s="16" t="s">
        <v>98</v>
      </c>
      <c r="F77" s="17">
        <v>45712</v>
      </c>
      <c r="G77" s="20">
        <v>45770</v>
      </c>
      <c r="H77" s="21">
        <v>17510000</v>
      </c>
      <c r="I77" s="21">
        <v>8755000</v>
      </c>
      <c r="J77" s="5">
        <f>I77+2042833+6712167</f>
        <v>17510000</v>
      </c>
      <c r="K77" s="6">
        <f t="shared" si="4"/>
        <v>0</v>
      </c>
      <c r="L77" s="1">
        <f t="shared" si="5"/>
        <v>1</v>
      </c>
      <c r="M77" s="14">
        <v>0</v>
      </c>
      <c r="N77" s="13">
        <v>0</v>
      </c>
      <c r="O77" s="9"/>
    </row>
    <row r="78" spans="1:15" ht="60">
      <c r="A78" s="15" t="s">
        <v>158</v>
      </c>
      <c r="B78" s="16">
        <v>7170018</v>
      </c>
      <c r="C78" s="16">
        <v>6</v>
      </c>
      <c r="D78" s="9" t="s">
        <v>218</v>
      </c>
      <c r="E78" s="16" t="s">
        <v>99</v>
      </c>
      <c r="F78" s="17">
        <v>45712</v>
      </c>
      <c r="G78" s="20">
        <v>45800</v>
      </c>
      <c r="H78" s="21">
        <v>28119000</v>
      </c>
      <c r="I78" s="21">
        <v>9373000</v>
      </c>
      <c r="J78" s="5">
        <f>2187033+9373000+9373000+7185967</f>
        <v>28119000</v>
      </c>
      <c r="K78" s="6">
        <f t="shared" si="4"/>
        <v>0</v>
      </c>
      <c r="L78" s="1">
        <f t="shared" si="5"/>
        <v>1</v>
      </c>
      <c r="M78" s="14">
        <v>0</v>
      </c>
      <c r="N78" s="13">
        <v>0</v>
      </c>
      <c r="O78" s="9"/>
    </row>
    <row r="79" spans="1:15" ht="60">
      <c r="A79" s="15" t="s">
        <v>159</v>
      </c>
      <c r="B79" s="16">
        <v>1143425034</v>
      </c>
      <c r="C79" s="16">
        <v>5</v>
      </c>
      <c r="D79" s="9" t="s">
        <v>219</v>
      </c>
      <c r="E79" s="16" t="s">
        <v>100</v>
      </c>
      <c r="F79" s="17">
        <v>45712</v>
      </c>
      <c r="G79" s="20">
        <v>45800</v>
      </c>
      <c r="H79" s="21">
        <v>28119000</v>
      </c>
      <c r="I79" s="21">
        <v>9373000</v>
      </c>
      <c r="J79" s="5">
        <f>2187033+9373000+9373000+7185967</f>
        <v>28119000</v>
      </c>
      <c r="K79" s="6">
        <f t="shared" si="4"/>
        <v>0</v>
      </c>
      <c r="L79" s="1">
        <f t="shared" si="5"/>
        <v>1</v>
      </c>
      <c r="M79" s="14">
        <v>0</v>
      </c>
      <c r="N79" s="13">
        <v>0</v>
      </c>
      <c r="O79" s="9"/>
    </row>
    <row r="80" spans="1:15" ht="60">
      <c r="A80" s="15" t="s">
        <v>160</v>
      </c>
      <c r="B80" s="16">
        <v>1121872051</v>
      </c>
      <c r="C80" s="16">
        <v>7</v>
      </c>
      <c r="D80" s="9" t="s">
        <v>220</v>
      </c>
      <c r="E80" s="16" t="s">
        <v>101</v>
      </c>
      <c r="F80" s="17">
        <v>45712</v>
      </c>
      <c r="G80" s="20">
        <v>45800</v>
      </c>
      <c r="H80" s="21">
        <v>16480000</v>
      </c>
      <c r="I80" s="21">
        <v>8240000</v>
      </c>
      <c r="J80" s="5">
        <f>1922667+I80+6317300</f>
        <v>16479967</v>
      </c>
      <c r="K80" s="6">
        <f t="shared" si="4"/>
        <v>33</v>
      </c>
      <c r="L80" s="1">
        <f t="shared" si="5"/>
        <v>0.99999799757281549</v>
      </c>
      <c r="M80" s="14">
        <v>0</v>
      </c>
      <c r="N80" s="13">
        <v>0</v>
      </c>
      <c r="O80" s="9"/>
    </row>
    <row r="81" spans="1:15" ht="45">
      <c r="A81" s="15" t="s">
        <v>161</v>
      </c>
      <c r="B81" s="16">
        <v>1031148185</v>
      </c>
      <c r="C81" s="16">
        <v>4</v>
      </c>
      <c r="D81" s="9" t="s">
        <v>221</v>
      </c>
      <c r="E81" s="16" t="s">
        <v>102</v>
      </c>
      <c r="F81" s="17">
        <v>45713</v>
      </c>
      <c r="G81" s="20">
        <v>45771</v>
      </c>
      <c r="H81" s="21">
        <v>6600000</v>
      </c>
      <c r="I81" s="21">
        <v>3300000</v>
      </c>
      <c r="J81" s="5">
        <f>660000+I81+2640000</f>
        <v>6600000</v>
      </c>
      <c r="K81" s="6">
        <f t="shared" si="4"/>
        <v>0</v>
      </c>
      <c r="L81" s="1">
        <f t="shared" si="5"/>
        <v>1</v>
      </c>
      <c r="M81" s="14">
        <v>0</v>
      </c>
      <c r="N81" s="13">
        <v>0</v>
      </c>
      <c r="O81" s="9"/>
    </row>
    <row r="82" spans="1:15" ht="120">
      <c r="A82" s="15" t="s">
        <v>162</v>
      </c>
      <c r="B82" s="16">
        <v>1094974758</v>
      </c>
      <c r="C82" s="16">
        <v>6</v>
      </c>
      <c r="D82" s="9" t="s">
        <v>222</v>
      </c>
      <c r="E82" s="16" t="s">
        <v>103</v>
      </c>
      <c r="F82" s="17">
        <v>45713</v>
      </c>
      <c r="G82" s="20">
        <v>45954</v>
      </c>
      <c r="H82" s="21">
        <v>53560000</v>
      </c>
      <c r="I82" s="21">
        <v>6695000</v>
      </c>
      <c r="J82" s="5">
        <f>1339000+1339000+6695000+6695000+6695000+I82+I82</f>
        <v>36153000</v>
      </c>
      <c r="K82" s="6">
        <f t="shared" si="4"/>
        <v>17407000</v>
      </c>
      <c r="L82" s="1">
        <f t="shared" si="5"/>
        <v>0.67500000000000004</v>
      </c>
      <c r="M82" s="14">
        <v>0</v>
      </c>
      <c r="N82" s="13">
        <v>0</v>
      </c>
      <c r="O82" s="9"/>
    </row>
    <row r="83" spans="1:15" ht="60">
      <c r="A83" s="15" t="s">
        <v>163</v>
      </c>
      <c r="B83" s="16">
        <v>1070329566</v>
      </c>
      <c r="C83" s="16">
        <v>6</v>
      </c>
      <c r="D83" s="9" t="s">
        <v>223</v>
      </c>
      <c r="E83" s="16" t="s">
        <v>104</v>
      </c>
      <c r="F83" s="17">
        <v>45713</v>
      </c>
      <c r="G83" s="20">
        <v>46022</v>
      </c>
      <c r="H83" s="21">
        <v>84048000</v>
      </c>
      <c r="I83" s="21">
        <v>8240000.0000000009</v>
      </c>
      <c r="J83" s="5">
        <f>1648000+1648000+8240000+8240000+8240000+I83+I83</f>
        <v>44496000</v>
      </c>
      <c r="K83" s="6">
        <f t="shared" si="4"/>
        <v>39552000</v>
      </c>
      <c r="L83" s="1">
        <f t="shared" si="5"/>
        <v>0.52941176470588236</v>
      </c>
      <c r="M83" s="14">
        <v>0</v>
      </c>
      <c r="N83" s="13">
        <v>0</v>
      </c>
      <c r="O83" s="9"/>
    </row>
    <row r="84" spans="1:15" ht="90">
      <c r="A84" s="15" t="s">
        <v>283</v>
      </c>
      <c r="B84" s="16">
        <v>36556354</v>
      </c>
      <c r="C84" s="16">
        <v>1</v>
      </c>
      <c r="D84" s="9" t="s">
        <v>326</v>
      </c>
      <c r="E84" s="16" t="s">
        <v>240</v>
      </c>
      <c r="F84" s="17">
        <v>45719</v>
      </c>
      <c r="G84" s="20">
        <v>46022</v>
      </c>
      <c r="H84" s="21">
        <v>71379000</v>
      </c>
      <c r="I84" s="21">
        <v>7210000</v>
      </c>
      <c r="J84" s="5">
        <f>6489000+7210000+7210000+I84+I84</f>
        <v>35329000</v>
      </c>
      <c r="K84" s="6">
        <f t="shared" ref="K84:K126" si="6">H84-J84</f>
        <v>36050000</v>
      </c>
      <c r="L84" s="1">
        <f t="shared" ref="L84:L126" si="7">1-(K84/H84)</f>
        <v>0.49494949494949492</v>
      </c>
      <c r="M84" s="14">
        <v>0</v>
      </c>
      <c r="N84" s="13">
        <v>0</v>
      </c>
      <c r="O84" s="9"/>
    </row>
    <row r="85" spans="1:15" ht="75">
      <c r="A85" s="15" t="s">
        <v>284</v>
      </c>
      <c r="B85" s="16">
        <v>52816943</v>
      </c>
      <c r="C85" s="16">
        <v>2</v>
      </c>
      <c r="D85" s="9" t="s">
        <v>327</v>
      </c>
      <c r="E85" s="16" t="s">
        <v>241</v>
      </c>
      <c r="F85" s="17">
        <v>45719</v>
      </c>
      <c r="G85" s="20">
        <v>45779</v>
      </c>
      <c r="H85" s="21">
        <v>16480000</v>
      </c>
      <c r="I85" s="21">
        <v>8240000</v>
      </c>
      <c r="J85" s="5">
        <f>7690667+8240000+549333</f>
        <v>16480000</v>
      </c>
      <c r="K85" s="6">
        <f t="shared" si="6"/>
        <v>0</v>
      </c>
      <c r="L85" s="1">
        <f t="shared" si="7"/>
        <v>1</v>
      </c>
      <c r="M85" s="14">
        <v>0</v>
      </c>
      <c r="N85" s="13">
        <v>0</v>
      </c>
      <c r="O85" s="9"/>
    </row>
    <row r="86" spans="1:15" ht="75">
      <c r="A86" s="15" t="s">
        <v>285</v>
      </c>
      <c r="B86" s="16">
        <v>52052153</v>
      </c>
      <c r="C86" s="16">
        <v>0</v>
      </c>
      <c r="D86" s="9" t="s">
        <v>328</v>
      </c>
      <c r="E86" s="16" t="s">
        <v>242</v>
      </c>
      <c r="F86" s="17">
        <v>45719</v>
      </c>
      <c r="G86" s="20">
        <v>45779</v>
      </c>
      <c r="H86" s="21">
        <v>11330000</v>
      </c>
      <c r="I86" s="21">
        <v>5665000</v>
      </c>
      <c r="J86" s="5">
        <f>5287333+5665000+377667</f>
        <v>11330000</v>
      </c>
      <c r="K86" s="6">
        <f t="shared" si="6"/>
        <v>0</v>
      </c>
      <c r="L86" s="1">
        <f t="shared" si="7"/>
        <v>1</v>
      </c>
      <c r="M86" s="14">
        <v>0</v>
      </c>
      <c r="N86" s="13">
        <v>0</v>
      </c>
      <c r="O86" s="9"/>
    </row>
    <row r="87" spans="1:15" ht="60">
      <c r="A87" s="15" t="s">
        <v>286</v>
      </c>
      <c r="B87" s="16">
        <v>14838515</v>
      </c>
      <c r="C87" s="16">
        <v>1</v>
      </c>
      <c r="D87" s="9" t="s">
        <v>329</v>
      </c>
      <c r="E87" s="16" t="s">
        <v>243</v>
      </c>
      <c r="F87" s="20">
        <v>45720</v>
      </c>
      <c r="G87" s="20">
        <v>46022</v>
      </c>
      <c r="H87" s="21">
        <v>114810667</v>
      </c>
      <c r="I87" s="21">
        <v>11550000</v>
      </c>
      <c r="J87" s="5">
        <f>10197000+11330000+11330000+11330000</f>
        <v>44187000</v>
      </c>
      <c r="K87" s="6">
        <f t="shared" si="6"/>
        <v>70623667</v>
      </c>
      <c r="L87" s="1">
        <f t="shared" si="7"/>
        <v>0.38486841993523124</v>
      </c>
      <c r="M87" s="14">
        <v>0</v>
      </c>
      <c r="N87" s="13">
        <v>0</v>
      </c>
      <c r="O87" s="9"/>
    </row>
    <row r="88" spans="1:15" ht="45">
      <c r="A88" s="15" t="s">
        <v>287</v>
      </c>
      <c r="B88" s="16">
        <v>32144118</v>
      </c>
      <c r="C88" s="16">
        <v>5</v>
      </c>
      <c r="D88" s="9" t="s">
        <v>330</v>
      </c>
      <c r="E88" s="16" t="s">
        <v>244</v>
      </c>
      <c r="F88" s="20">
        <v>45720</v>
      </c>
      <c r="G88" s="20">
        <v>45780</v>
      </c>
      <c r="H88" s="21">
        <v>17510000</v>
      </c>
      <c r="I88" s="21">
        <v>8755000</v>
      </c>
      <c r="J88" s="5">
        <f>7879500+8755000+875500</f>
        <v>17510000</v>
      </c>
      <c r="K88" s="6">
        <f t="shared" si="6"/>
        <v>0</v>
      </c>
      <c r="L88" s="1">
        <f t="shared" si="7"/>
        <v>1</v>
      </c>
      <c r="M88" s="14">
        <v>0</v>
      </c>
      <c r="N88" s="13">
        <v>0</v>
      </c>
      <c r="O88" s="9"/>
    </row>
    <row r="89" spans="1:15" ht="60">
      <c r="A89" s="15" t="s">
        <v>288</v>
      </c>
      <c r="B89" s="16">
        <v>80017253</v>
      </c>
      <c r="C89" s="16">
        <v>2</v>
      </c>
      <c r="D89" s="9" t="s">
        <v>331</v>
      </c>
      <c r="E89" s="16" t="s">
        <v>245</v>
      </c>
      <c r="F89" s="20">
        <v>45720</v>
      </c>
      <c r="G89" s="17">
        <v>45747</v>
      </c>
      <c r="H89" s="21">
        <v>16480000</v>
      </c>
      <c r="I89" s="21">
        <v>8240000</v>
      </c>
      <c r="J89" s="5">
        <v>7416000</v>
      </c>
      <c r="K89" s="6">
        <f t="shared" si="6"/>
        <v>9064000</v>
      </c>
      <c r="L89" s="1">
        <f t="shared" si="7"/>
        <v>0.44999999999999996</v>
      </c>
      <c r="M89" s="14">
        <v>0</v>
      </c>
      <c r="N89" s="13">
        <v>0</v>
      </c>
      <c r="O89" s="9"/>
    </row>
    <row r="90" spans="1:15" ht="45">
      <c r="A90" s="15" t="s">
        <v>289</v>
      </c>
      <c r="B90" s="16">
        <v>80472297</v>
      </c>
      <c r="C90" s="16">
        <v>6</v>
      </c>
      <c r="D90" s="9" t="s">
        <v>332</v>
      </c>
      <c r="E90" s="16" t="s">
        <v>246</v>
      </c>
      <c r="F90" s="20">
        <v>45721</v>
      </c>
      <c r="G90" s="20">
        <v>46022</v>
      </c>
      <c r="H90" s="21">
        <v>32450000</v>
      </c>
      <c r="I90" s="21">
        <v>3300000</v>
      </c>
      <c r="J90" s="5">
        <f>2750000+3300000+3300000+3300000+3300000</f>
        <v>15950000</v>
      </c>
      <c r="K90" s="6">
        <f t="shared" si="6"/>
        <v>16500000</v>
      </c>
      <c r="L90" s="1">
        <f t="shared" si="7"/>
        <v>0.49152542372881358</v>
      </c>
      <c r="M90" s="14">
        <v>0</v>
      </c>
      <c r="N90" s="13">
        <v>0</v>
      </c>
      <c r="O90" s="9"/>
    </row>
    <row r="91" spans="1:15" ht="75">
      <c r="A91" s="15" t="s">
        <v>290</v>
      </c>
      <c r="B91" s="16">
        <v>1010233403</v>
      </c>
      <c r="C91" s="16">
        <v>2</v>
      </c>
      <c r="D91" s="9" t="s">
        <v>333</v>
      </c>
      <c r="E91" s="16" t="s">
        <v>247</v>
      </c>
      <c r="F91" s="17">
        <v>45722</v>
      </c>
      <c r="G91" s="20">
        <v>45782</v>
      </c>
      <c r="H91" s="21">
        <v>16480000</v>
      </c>
      <c r="I91" s="21">
        <v>8240000</v>
      </c>
      <c r="J91" s="5">
        <f>6866667+8240000+1373333</f>
        <v>16480000</v>
      </c>
      <c r="K91" s="6">
        <f t="shared" si="6"/>
        <v>0</v>
      </c>
      <c r="L91" s="1">
        <f t="shared" si="7"/>
        <v>1</v>
      </c>
      <c r="M91" s="14">
        <v>0</v>
      </c>
      <c r="N91" s="13">
        <v>0</v>
      </c>
      <c r="O91" s="9"/>
    </row>
    <row r="92" spans="1:15" ht="60">
      <c r="A92" s="15" t="s">
        <v>291</v>
      </c>
      <c r="B92" s="16">
        <v>1066184621</v>
      </c>
      <c r="C92" s="16">
        <v>4</v>
      </c>
      <c r="D92" s="9" t="s">
        <v>334</v>
      </c>
      <c r="E92" s="16" t="s">
        <v>248</v>
      </c>
      <c r="F92" s="20">
        <v>45721</v>
      </c>
      <c r="G92" s="20">
        <v>46022</v>
      </c>
      <c r="H92" s="21">
        <v>82400000</v>
      </c>
      <c r="I92" s="21">
        <v>8240000</v>
      </c>
      <c r="J92" s="5">
        <f>7141333+8240000+8240000+I92+I92</f>
        <v>40101333</v>
      </c>
      <c r="K92" s="6">
        <f t="shared" si="6"/>
        <v>42298667</v>
      </c>
      <c r="L92" s="1">
        <f t="shared" si="7"/>
        <v>0.48666666262135927</v>
      </c>
      <c r="M92" s="14">
        <v>0</v>
      </c>
      <c r="N92" s="13">
        <v>0</v>
      </c>
      <c r="O92" s="9"/>
    </row>
    <row r="93" spans="1:15" ht="60">
      <c r="A93" s="15" t="s">
        <v>292</v>
      </c>
      <c r="B93" s="16">
        <v>1053853404</v>
      </c>
      <c r="C93" s="16">
        <v>6</v>
      </c>
      <c r="D93" s="9" t="s">
        <v>335</v>
      </c>
      <c r="E93" s="16" t="s">
        <v>249</v>
      </c>
      <c r="F93" s="17">
        <v>45721</v>
      </c>
      <c r="G93" s="20">
        <v>46022</v>
      </c>
      <c r="H93" s="21">
        <v>81301333</v>
      </c>
      <c r="I93" s="21">
        <v>8240000</v>
      </c>
      <c r="J93" s="5">
        <f>7141333+8240000+8240000+I93+I93</f>
        <v>40101333</v>
      </c>
      <c r="K93" s="6">
        <f t="shared" si="6"/>
        <v>41200000</v>
      </c>
      <c r="L93" s="1">
        <f t="shared" si="7"/>
        <v>0.49324324116555385</v>
      </c>
      <c r="M93" s="14">
        <v>0</v>
      </c>
      <c r="N93" s="13">
        <v>0</v>
      </c>
      <c r="O93" s="9"/>
    </row>
    <row r="94" spans="1:15" ht="60">
      <c r="A94" s="15" t="s">
        <v>293</v>
      </c>
      <c r="B94" s="16">
        <v>80224628</v>
      </c>
      <c r="C94" s="16">
        <v>8</v>
      </c>
      <c r="D94" s="9" t="s">
        <v>336</v>
      </c>
      <c r="E94" s="16" t="s">
        <v>250</v>
      </c>
      <c r="F94" s="17">
        <v>45721</v>
      </c>
      <c r="G94" s="20">
        <v>46022</v>
      </c>
      <c r="H94" s="21">
        <v>86382666</v>
      </c>
      <c r="I94" s="21">
        <v>8755000</v>
      </c>
      <c r="J94" s="5">
        <f>7587666+8755000+1793833</f>
        <v>18136499</v>
      </c>
      <c r="K94" s="6">
        <f t="shared" si="6"/>
        <v>68246167</v>
      </c>
      <c r="L94" s="1">
        <f t="shared" si="7"/>
        <v>0.20995530515346683</v>
      </c>
      <c r="M94" s="14">
        <v>0</v>
      </c>
      <c r="N94" s="13">
        <v>0</v>
      </c>
      <c r="O94" s="9"/>
    </row>
    <row r="95" spans="1:15" ht="75">
      <c r="A95" s="15" t="s">
        <v>294</v>
      </c>
      <c r="B95" s="16">
        <v>1032462696</v>
      </c>
      <c r="C95" s="16">
        <v>5</v>
      </c>
      <c r="D95" s="9" t="s">
        <v>337</v>
      </c>
      <c r="E95" s="16" t="s">
        <v>251</v>
      </c>
      <c r="F95" s="17">
        <v>45723</v>
      </c>
      <c r="G95" s="20">
        <v>45783</v>
      </c>
      <c r="H95" s="21">
        <v>14420000</v>
      </c>
      <c r="I95" s="21">
        <v>7210000</v>
      </c>
      <c r="J95" s="5">
        <f>5768000+7210000+1442000</f>
        <v>14420000</v>
      </c>
      <c r="K95" s="6">
        <f t="shared" si="6"/>
        <v>0</v>
      </c>
      <c r="L95" s="1">
        <f t="shared" si="7"/>
        <v>1</v>
      </c>
      <c r="M95" s="14">
        <v>0</v>
      </c>
      <c r="N95" s="13">
        <v>0</v>
      </c>
      <c r="O95" s="9"/>
    </row>
    <row r="96" spans="1:15" ht="60">
      <c r="A96" s="15" t="s">
        <v>295</v>
      </c>
      <c r="B96" s="16">
        <v>80195916</v>
      </c>
      <c r="C96" s="16">
        <v>9</v>
      </c>
      <c r="D96" s="9" t="s">
        <v>338</v>
      </c>
      <c r="E96" s="16" t="s">
        <v>252</v>
      </c>
      <c r="F96" s="17">
        <v>45723</v>
      </c>
      <c r="G96" s="20">
        <v>45783</v>
      </c>
      <c r="H96" s="21">
        <v>18746000</v>
      </c>
      <c r="I96" s="21">
        <v>9373000</v>
      </c>
      <c r="J96" s="5">
        <f>7498400+9373000+1874600</f>
        <v>18746000</v>
      </c>
      <c r="K96" s="6">
        <f t="shared" si="6"/>
        <v>0</v>
      </c>
      <c r="L96" s="1">
        <f t="shared" si="7"/>
        <v>1</v>
      </c>
      <c r="M96" s="14">
        <v>0</v>
      </c>
      <c r="N96" s="13">
        <v>0</v>
      </c>
      <c r="O96" s="9"/>
    </row>
    <row r="97" spans="1:15" ht="150">
      <c r="A97" s="15" t="s">
        <v>296</v>
      </c>
      <c r="B97" s="16">
        <v>1054372968</v>
      </c>
      <c r="C97" s="16">
        <v>7</v>
      </c>
      <c r="D97" s="9" t="s">
        <v>339</v>
      </c>
      <c r="E97" s="16" t="s">
        <v>253</v>
      </c>
      <c r="F97" s="17">
        <v>45723</v>
      </c>
      <c r="G97" s="20">
        <v>45783</v>
      </c>
      <c r="H97" s="21">
        <v>16480000</v>
      </c>
      <c r="I97" s="21">
        <v>8240000</v>
      </c>
      <c r="J97" s="5">
        <f>6592000+8240000+1648000</f>
        <v>16480000</v>
      </c>
      <c r="K97" s="6">
        <f t="shared" si="6"/>
        <v>0</v>
      </c>
      <c r="L97" s="1">
        <f t="shared" si="7"/>
        <v>1</v>
      </c>
      <c r="M97" s="14">
        <v>0</v>
      </c>
      <c r="N97" s="13">
        <v>0</v>
      </c>
      <c r="O97" s="9"/>
    </row>
    <row r="98" spans="1:15" ht="75">
      <c r="A98" s="15" t="s">
        <v>297</v>
      </c>
      <c r="B98" s="16">
        <v>1018415781</v>
      </c>
      <c r="C98" s="16">
        <v>2</v>
      </c>
      <c r="D98" s="9" t="s">
        <v>340</v>
      </c>
      <c r="E98" s="16" t="s">
        <v>254</v>
      </c>
      <c r="F98" s="17">
        <v>45723</v>
      </c>
      <c r="G98" s="20">
        <v>46017</v>
      </c>
      <c r="H98" s="21">
        <v>79653333</v>
      </c>
      <c r="I98" s="21">
        <v>8240000</v>
      </c>
      <c r="J98" s="5">
        <f>6592000+8240000+8240000+I98+I98</f>
        <v>39552000</v>
      </c>
      <c r="K98" s="6">
        <f t="shared" si="6"/>
        <v>40101333</v>
      </c>
      <c r="L98" s="1">
        <f t="shared" si="7"/>
        <v>0.49655172621590105</v>
      </c>
      <c r="M98" s="14">
        <v>0</v>
      </c>
      <c r="N98" s="13">
        <v>0</v>
      </c>
      <c r="O98" s="9"/>
    </row>
    <row r="99" spans="1:15" ht="60">
      <c r="A99" s="15" t="s">
        <v>298</v>
      </c>
      <c r="B99" s="16">
        <v>1022952696</v>
      </c>
      <c r="C99" s="16">
        <v>1</v>
      </c>
      <c r="D99" s="9" t="s">
        <v>341</v>
      </c>
      <c r="E99" s="16" t="s">
        <v>255</v>
      </c>
      <c r="F99" s="17">
        <v>45727</v>
      </c>
      <c r="G99" s="20">
        <v>45818</v>
      </c>
      <c r="H99" s="21">
        <v>21630000</v>
      </c>
      <c r="I99" s="21">
        <v>7210000</v>
      </c>
      <c r="J99" s="5">
        <f>4120000+4806000+7210000+7210000+2403334</f>
        <v>25749334</v>
      </c>
      <c r="K99" s="6">
        <f t="shared" si="6"/>
        <v>-4119334</v>
      </c>
      <c r="L99" s="1">
        <f t="shared" si="7"/>
        <v>1.190445399907536</v>
      </c>
      <c r="M99" s="14">
        <v>0</v>
      </c>
      <c r="N99" s="13">
        <v>0</v>
      </c>
      <c r="O99" s="9"/>
    </row>
    <row r="100" spans="1:15" ht="105">
      <c r="A100" s="15" t="s">
        <v>299</v>
      </c>
      <c r="B100" s="16">
        <v>1018427750</v>
      </c>
      <c r="C100" s="16">
        <v>6</v>
      </c>
      <c r="D100" s="9" t="s">
        <v>342</v>
      </c>
      <c r="E100" s="16" t="s">
        <v>256</v>
      </c>
      <c r="F100" s="17">
        <v>45727</v>
      </c>
      <c r="G100" s="20">
        <v>45787</v>
      </c>
      <c r="H100" s="21">
        <v>12360000</v>
      </c>
      <c r="I100" s="21">
        <v>6180000</v>
      </c>
      <c r="J100" s="5">
        <f>6180000+2060000</f>
        <v>8240000</v>
      </c>
      <c r="K100" s="6">
        <f t="shared" si="6"/>
        <v>4120000</v>
      </c>
      <c r="L100" s="1">
        <f t="shared" si="7"/>
        <v>0.66666666666666674</v>
      </c>
      <c r="M100" s="14">
        <v>0</v>
      </c>
      <c r="N100" s="13">
        <v>0</v>
      </c>
      <c r="O100" s="9"/>
    </row>
    <row r="101" spans="1:15" ht="75">
      <c r="A101" s="15" t="s">
        <v>300</v>
      </c>
      <c r="B101" s="16">
        <v>91535835</v>
      </c>
      <c r="C101" s="16">
        <v>0</v>
      </c>
      <c r="D101" s="9" t="s">
        <v>343</v>
      </c>
      <c r="E101" s="16" t="s">
        <v>257</v>
      </c>
      <c r="F101" s="17">
        <v>45728</v>
      </c>
      <c r="G101" s="20">
        <v>45819</v>
      </c>
      <c r="H101" s="21">
        <v>26265000</v>
      </c>
      <c r="I101" s="21">
        <v>8755000</v>
      </c>
      <c r="J101" s="5">
        <f>8755000+3210167</f>
        <v>11965167</v>
      </c>
      <c r="K101" s="6">
        <f t="shared" si="6"/>
        <v>14299833</v>
      </c>
      <c r="L101" s="1">
        <f t="shared" si="7"/>
        <v>0.45555556824671617</v>
      </c>
      <c r="M101" s="14">
        <v>0</v>
      </c>
      <c r="N101" s="13">
        <v>0</v>
      </c>
      <c r="O101" s="9"/>
    </row>
    <row r="102" spans="1:15" ht="75">
      <c r="A102" s="15" t="s">
        <v>301</v>
      </c>
      <c r="B102" s="16">
        <v>1001309821</v>
      </c>
      <c r="C102" s="16">
        <v>3</v>
      </c>
      <c r="D102" s="9" t="s">
        <v>344</v>
      </c>
      <c r="E102" s="16" t="s">
        <v>258</v>
      </c>
      <c r="F102" s="17">
        <v>45728</v>
      </c>
      <c r="G102" s="20">
        <v>46022</v>
      </c>
      <c r="H102" s="21">
        <v>35720400</v>
      </c>
      <c r="I102" s="21">
        <v>3708000</v>
      </c>
      <c r="J102" s="5">
        <f>2348400+3708000+3708000+3708000+I102</f>
        <v>17180400</v>
      </c>
      <c r="K102" s="6">
        <f t="shared" si="6"/>
        <v>18540000</v>
      </c>
      <c r="L102" s="1">
        <f t="shared" si="7"/>
        <v>0.48096885813148793</v>
      </c>
      <c r="M102" s="14">
        <v>0</v>
      </c>
      <c r="N102" s="13">
        <v>0</v>
      </c>
      <c r="O102" s="9"/>
    </row>
    <row r="103" spans="1:15" ht="60">
      <c r="A103" s="15" t="s">
        <v>302</v>
      </c>
      <c r="B103" s="16">
        <v>1020725505</v>
      </c>
      <c r="C103" s="16">
        <v>3</v>
      </c>
      <c r="D103" s="9" t="s">
        <v>345</v>
      </c>
      <c r="E103" s="16" t="s">
        <v>259</v>
      </c>
      <c r="F103" s="17">
        <v>45730</v>
      </c>
      <c r="G103" s="20">
        <v>46022</v>
      </c>
      <c r="H103" s="21">
        <v>49268333</v>
      </c>
      <c r="I103" s="21">
        <v>5150000</v>
      </c>
      <c r="J103" s="5">
        <f>2918333+5150000+5150000+I103+I103</f>
        <v>23518333</v>
      </c>
      <c r="K103" s="6">
        <f t="shared" si="6"/>
        <v>25750000</v>
      </c>
      <c r="L103" s="1">
        <f t="shared" si="7"/>
        <v>0.47735191284024159</v>
      </c>
      <c r="M103" s="14">
        <v>0</v>
      </c>
      <c r="N103" s="13">
        <v>0</v>
      </c>
      <c r="O103" s="9"/>
    </row>
    <row r="104" spans="1:15" ht="75">
      <c r="A104" s="15" t="s">
        <v>303</v>
      </c>
      <c r="B104" s="16">
        <v>1069715425</v>
      </c>
      <c r="C104" s="16">
        <v>8</v>
      </c>
      <c r="D104" s="9" t="s">
        <v>346</v>
      </c>
      <c r="E104" s="16" t="s">
        <v>260</v>
      </c>
      <c r="F104" s="17">
        <v>45730</v>
      </c>
      <c r="G104" s="20">
        <v>45849</v>
      </c>
      <c r="H104" s="21">
        <v>14832000</v>
      </c>
      <c r="I104" s="21">
        <v>3708000</v>
      </c>
      <c r="J104" s="5">
        <f>2101200+3708000+3708000+3708000+1606800</f>
        <v>14832000</v>
      </c>
      <c r="K104" s="6">
        <f>H104-J104</f>
        <v>0</v>
      </c>
      <c r="L104" s="1">
        <f t="shared" si="7"/>
        <v>1</v>
      </c>
      <c r="M104" s="14">
        <v>0</v>
      </c>
      <c r="N104" s="13">
        <v>0</v>
      </c>
      <c r="O104" s="9"/>
    </row>
    <row r="105" spans="1:15" ht="60">
      <c r="A105" s="15" t="s">
        <v>304</v>
      </c>
      <c r="B105" s="16">
        <v>1121331082</v>
      </c>
      <c r="C105" s="16">
        <v>4</v>
      </c>
      <c r="D105" s="9" t="s">
        <v>347</v>
      </c>
      <c r="E105" s="16" t="s">
        <v>261</v>
      </c>
      <c r="F105" s="17">
        <v>45730</v>
      </c>
      <c r="G105" s="20">
        <v>45991</v>
      </c>
      <c r="H105" s="21">
        <v>48530166</v>
      </c>
      <c r="I105" s="21">
        <v>5665000</v>
      </c>
      <c r="J105" s="5">
        <f>3210166+5665000+5665000+5665000+I105+I105</f>
        <v>31535166</v>
      </c>
      <c r="K105" s="6">
        <f>H105-J105</f>
        <v>16995000</v>
      </c>
      <c r="L105" s="1">
        <f t="shared" si="7"/>
        <v>0.64980544266013851</v>
      </c>
      <c r="M105" s="14">
        <v>0</v>
      </c>
      <c r="N105" s="13">
        <v>0</v>
      </c>
      <c r="O105" s="9"/>
    </row>
    <row r="106" spans="1:15" ht="45">
      <c r="A106" s="15" t="s">
        <v>305</v>
      </c>
      <c r="B106" s="16">
        <v>1192806892</v>
      </c>
      <c r="C106" s="16">
        <v>1</v>
      </c>
      <c r="D106" s="9" t="s">
        <v>348</v>
      </c>
      <c r="E106" s="16" t="s">
        <v>262</v>
      </c>
      <c r="F106" s="17">
        <v>45729</v>
      </c>
      <c r="G106" s="20">
        <v>45973</v>
      </c>
      <c r="H106" s="21">
        <v>29664000</v>
      </c>
      <c r="I106" s="21">
        <v>3708000</v>
      </c>
      <c r="J106" s="5">
        <f>2224800+3708000+3708000+3708000+I106+I106+I106</f>
        <v>24472800</v>
      </c>
      <c r="K106" s="6">
        <f t="shared" si="6"/>
        <v>5191200</v>
      </c>
      <c r="L106" s="1">
        <f t="shared" si="7"/>
        <v>0.82499999999999996</v>
      </c>
      <c r="M106" s="14">
        <v>0</v>
      </c>
      <c r="N106" s="13">
        <v>0</v>
      </c>
      <c r="O106" s="9"/>
    </row>
    <row r="107" spans="1:15" ht="75">
      <c r="A107" s="15" t="s">
        <v>306</v>
      </c>
      <c r="B107" s="16">
        <v>1000287647</v>
      </c>
      <c r="C107" s="16">
        <v>8</v>
      </c>
      <c r="D107" s="9" t="s">
        <v>349</v>
      </c>
      <c r="E107" s="16" t="s">
        <v>263</v>
      </c>
      <c r="F107" s="17">
        <v>45735</v>
      </c>
      <c r="G107" s="20">
        <v>46022</v>
      </c>
      <c r="H107" s="21">
        <v>35596800</v>
      </c>
      <c r="I107" s="21">
        <v>3708000</v>
      </c>
      <c r="J107" s="5">
        <f>2224800+3708000+3708000+3708000+I107+I107</f>
        <v>20764800</v>
      </c>
      <c r="K107" s="6">
        <f t="shared" si="6"/>
        <v>14832000</v>
      </c>
      <c r="L107" s="1">
        <f t="shared" si="7"/>
        <v>0.58333333333333326</v>
      </c>
      <c r="M107" s="14">
        <v>0</v>
      </c>
      <c r="N107" s="13">
        <v>0</v>
      </c>
      <c r="O107" s="9"/>
    </row>
    <row r="108" spans="1:15" ht="60">
      <c r="A108" s="15" t="s">
        <v>307</v>
      </c>
      <c r="B108" s="16">
        <v>1020828222</v>
      </c>
      <c r="C108" s="16">
        <v>7</v>
      </c>
      <c r="D108" s="9" t="s">
        <v>350</v>
      </c>
      <c r="E108" s="16" t="s">
        <v>264</v>
      </c>
      <c r="F108" s="17">
        <v>45733</v>
      </c>
      <c r="G108" s="20">
        <v>46022</v>
      </c>
      <c r="H108" s="21">
        <v>43878000</v>
      </c>
      <c r="I108" s="21">
        <v>4635000</v>
      </c>
      <c r="J108" s="5">
        <f>2163000+4635000+4635000+I108+I108</f>
        <v>20703000</v>
      </c>
      <c r="K108" s="6">
        <f t="shared" si="6"/>
        <v>23175000</v>
      </c>
      <c r="L108" s="1">
        <f t="shared" si="7"/>
        <v>0.471830985915493</v>
      </c>
      <c r="M108" s="14">
        <v>0</v>
      </c>
      <c r="N108" s="13">
        <v>0</v>
      </c>
      <c r="O108" s="9"/>
    </row>
    <row r="109" spans="1:15" ht="75">
      <c r="A109" s="15" t="s">
        <v>308</v>
      </c>
      <c r="B109" s="16">
        <v>1016102721</v>
      </c>
      <c r="C109" s="16">
        <v>1</v>
      </c>
      <c r="D109" s="9" t="s">
        <v>351</v>
      </c>
      <c r="E109" s="16" t="s">
        <v>265</v>
      </c>
      <c r="F109" s="17">
        <v>45733</v>
      </c>
      <c r="G109" s="20">
        <v>45793</v>
      </c>
      <c r="H109" s="21">
        <v>11330000</v>
      </c>
      <c r="I109" s="21">
        <v>5665000</v>
      </c>
      <c r="J109" s="5">
        <f>2643667+5665000+3021333</f>
        <v>11330000</v>
      </c>
      <c r="K109" s="6">
        <f t="shared" si="6"/>
        <v>0</v>
      </c>
      <c r="L109" s="1">
        <f t="shared" si="7"/>
        <v>1</v>
      </c>
      <c r="M109" s="14">
        <v>0</v>
      </c>
      <c r="N109" s="13">
        <v>0</v>
      </c>
      <c r="O109" s="9"/>
    </row>
    <row r="110" spans="1:15" ht="30">
      <c r="A110" s="15" t="s">
        <v>309</v>
      </c>
      <c r="B110" s="33">
        <v>800153993</v>
      </c>
      <c r="C110" s="27">
        <v>7</v>
      </c>
      <c r="D110" s="9" t="s">
        <v>352</v>
      </c>
      <c r="E110" s="16" t="s">
        <v>266</v>
      </c>
      <c r="F110" s="17">
        <v>45733</v>
      </c>
      <c r="G110" s="20">
        <v>46022</v>
      </c>
      <c r="H110" s="21">
        <v>30488024.550000001</v>
      </c>
      <c r="I110" s="21">
        <v>30488024.550000001</v>
      </c>
      <c r="J110" s="5">
        <v>0</v>
      </c>
      <c r="K110" s="6">
        <f t="shared" si="6"/>
        <v>30488024.550000001</v>
      </c>
      <c r="L110" s="1">
        <f t="shared" si="7"/>
        <v>0</v>
      </c>
      <c r="M110" s="14">
        <v>0</v>
      </c>
      <c r="N110" s="13">
        <v>0</v>
      </c>
      <c r="O110" s="9"/>
    </row>
    <row r="111" spans="1:15" ht="60">
      <c r="A111" s="15" t="s">
        <v>310</v>
      </c>
      <c r="B111" s="16">
        <v>36296028</v>
      </c>
      <c r="C111" s="16">
        <v>7</v>
      </c>
      <c r="D111" s="9" t="s">
        <v>353</v>
      </c>
      <c r="E111" s="16" t="s">
        <v>267</v>
      </c>
      <c r="F111" s="17">
        <v>45733</v>
      </c>
      <c r="G111" s="20">
        <v>46022</v>
      </c>
      <c r="H111" s="21">
        <v>88731067</v>
      </c>
      <c r="I111" s="21">
        <v>9373000</v>
      </c>
      <c r="J111" s="5">
        <f>4374067+9373000+9373000+I111+I111</f>
        <v>41866067</v>
      </c>
      <c r="K111" s="6">
        <f t="shared" si="6"/>
        <v>46865000</v>
      </c>
      <c r="L111" s="1">
        <f t="shared" si="7"/>
        <v>0.47183098789964961</v>
      </c>
      <c r="M111" s="14">
        <v>0</v>
      </c>
      <c r="N111" s="13">
        <v>0</v>
      </c>
      <c r="O111" s="9"/>
    </row>
    <row r="112" spans="1:15" ht="45">
      <c r="A112" s="15" t="s">
        <v>311</v>
      </c>
      <c r="B112" s="16">
        <v>52977353</v>
      </c>
      <c r="C112" s="16">
        <v>7</v>
      </c>
      <c r="D112" s="9" t="s">
        <v>354</v>
      </c>
      <c r="E112" s="16" t="s">
        <v>268</v>
      </c>
      <c r="F112" s="17">
        <v>45735</v>
      </c>
      <c r="G112" s="20">
        <v>46022</v>
      </c>
      <c r="H112" s="21">
        <v>77730667</v>
      </c>
      <c r="I112" s="21">
        <v>8240000</v>
      </c>
      <c r="J112" s="5">
        <f>3570667+8240000+8240000+I112+I112</f>
        <v>36530667</v>
      </c>
      <c r="K112" s="6">
        <f t="shared" si="6"/>
        <v>41200000</v>
      </c>
      <c r="L112" s="1">
        <f t="shared" si="7"/>
        <v>0.46996466658391078</v>
      </c>
      <c r="M112" s="14">
        <v>0</v>
      </c>
      <c r="N112" s="13">
        <v>0</v>
      </c>
      <c r="O112" s="9"/>
    </row>
    <row r="113" spans="1:15" ht="60">
      <c r="A113" s="15" t="s">
        <v>312</v>
      </c>
      <c r="B113" s="16">
        <v>1094926689</v>
      </c>
      <c r="C113" s="16">
        <v>1</v>
      </c>
      <c r="D113" s="9" t="s">
        <v>355</v>
      </c>
      <c r="E113" s="16" t="s">
        <v>269</v>
      </c>
      <c r="F113" s="17">
        <v>45733</v>
      </c>
      <c r="G113" s="20">
        <v>46022</v>
      </c>
      <c r="H113" s="21">
        <v>68254667</v>
      </c>
      <c r="I113" s="21">
        <v>7210000</v>
      </c>
      <c r="J113" s="5">
        <f>3364667+7210000+7210000+I113+I113</f>
        <v>32204667</v>
      </c>
      <c r="K113" s="6">
        <f t="shared" si="6"/>
        <v>36050000</v>
      </c>
      <c r="L113" s="1">
        <f t="shared" si="7"/>
        <v>0.47183098849489657</v>
      </c>
      <c r="M113" s="14">
        <v>0</v>
      </c>
      <c r="N113" s="13">
        <v>0</v>
      </c>
      <c r="O113" s="9"/>
    </row>
    <row r="114" spans="1:15" ht="60">
      <c r="A114" s="15" t="s">
        <v>313</v>
      </c>
      <c r="B114" s="16">
        <v>1088019231</v>
      </c>
      <c r="C114" s="16">
        <v>1</v>
      </c>
      <c r="D114" s="9" t="s">
        <v>356</v>
      </c>
      <c r="E114" s="16" t="s">
        <v>270</v>
      </c>
      <c r="F114" s="17">
        <v>45735</v>
      </c>
      <c r="G114" s="20">
        <v>46022</v>
      </c>
      <c r="H114" s="21">
        <v>62933000</v>
      </c>
      <c r="I114" s="21">
        <v>6695000</v>
      </c>
      <c r="J114" s="5">
        <f>2678000+6695000+6695000+I114+I114</f>
        <v>29458000</v>
      </c>
      <c r="K114" s="6">
        <f t="shared" si="6"/>
        <v>33475000</v>
      </c>
      <c r="L114" s="1">
        <f t="shared" si="7"/>
        <v>0.46808510638297873</v>
      </c>
      <c r="M114" s="14">
        <v>0</v>
      </c>
      <c r="N114" s="13">
        <v>0</v>
      </c>
      <c r="O114" s="9"/>
    </row>
    <row r="115" spans="1:15" ht="60">
      <c r="A115" s="15" t="s">
        <v>314</v>
      </c>
      <c r="B115" s="16">
        <v>19359588</v>
      </c>
      <c r="C115" s="16">
        <v>1</v>
      </c>
      <c r="D115" s="9" t="s">
        <v>357</v>
      </c>
      <c r="E115" s="16" t="s">
        <v>271</v>
      </c>
      <c r="F115" s="17">
        <v>45737</v>
      </c>
      <c r="G115" s="20">
        <v>46022</v>
      </c>
      <c r="H115" s="21">
        <v>72100000</v>
      </c>
      <c r="I115" s="21">
        <v>7725000</v>
      </c>
      <c r="J115" s="5">
        <f>2575000+7725000+7725000+I115+I115</f>
        <v>33475000</v>
      </c>
      <c r="K115" s="6">
        <f t="shared" si="6"/>
        <v>38625000</v>
      </c>
      <c r="L115" s="1">
        <f t="shared" si="7"/>
        <v>0.4642857142857143</v>
      </c>
      <c r="M115" s="14">
        <v>0</v>
      </c>
      <c r="N115" s="13">
        <v>0</v>
      </c>
      <c r="O115" s="9"/>
    </row>
    <row r="116" spans="1:15" ht="60">
      <c r="A116" s="15" t="s">
        <v>315</v>
      </c>
      <c r="B116" s="16">
        <v>52856232</v>
      </c>
      <c r="C116" s="16">
        <v>5</v>
      </c>
      <c r="D116" s="9" t="s">
        <v>358</v>
      </c>
      <c r="E116" s="16" t="s">
        <v>272</v>
      </c>
      <c r="F116" s="17">
        <v>45737</v>
      </c>
      <c r="G116" s="20">
        <v>46022</v>
      </c>
      <c r="H116" s="21">
        <v>35102400</v>
      </c>
      <c r="I116" s="21">
        <v>3708000</v>
      </c>
      <c r="J116" s="5">
        <f>1606800+3708000+3708000+3708000+I116</f>
        <v>16438800</v>
      </c>
      <c r="K116" s="6">
        <f t="shared" si="6"/>
        <v>18663600</v>
      </c>
      <c r="L116" s="1">
        <f t="shared" si="7"/>
        <v>0.46830985915492962</v>
      </c>
      <c r="M116" s="14">
        <v>0</v>
      </c>
      <c r="N116" s="13">
        <v>0</v>
      </c>
      <c r="O116" s="9"/>
    </row>
    <row r="117" spans="1:15" ht="60">
      <c r="A117" s="15" t="s">
        <v>316</v>
      </c>
      <c r="B117" s="16">
        <v>79912906</v>
      </c>
      <c r="C117" s="16">
        <v>9</v>
      </c>
      <c r="D117" s="9" t="s">
        <v>359</v>
      </c>
      <c r="E117" s="16" t="s">
        <v>273</v>
      </c>
      <c r="F117" s="17">
        <v>45736</v>
      </c>
      <c r="G117" s="20">
        <v>46022</v>
      </c>
      <c r="H117" s="21">
        <v>53062167</v>
      </c>
      <c r="I117" s="21">
        <v>5665000</v>
      </c>
      <c r="J117" s="5">
        <f>2077167+5665000+5665000+I117+I117</f>
        <v>24737167</v>
      </c>
      <c r="K117" s="6">
        <f t="shared" si="6"/>
        <v>28325000</v>
      </c>
      <c r="L117" s="1">
        <f t="shared" si="7"/>
        <v>0.46619217417185388</v>
      </c>
      <c r="M117" s="14">
        <v>0</v>
      </c>
      <c r="N117" s="13">
        <v>0</v>
      </c>
      <c r="O117" s="9"/>
    </row>
    <row r="118" spans="1:15" ht="105">
      <c r="A118" s="15" t="s">
        <v>317</v>
      </c>
      <c r="B118" s="16">
        <v>1121335027</v>
      </c>
      <c r="C118" s="16">
        <v>7</v>
      </c>
      <c r="D118" s="9" t="s">
        <v>360</v>
      </c>
      <c r="E118" s="16" t="s">
        <v>274</v>
      </c>
      <c r="F118" s="17">
        <v>45741</v>
      </c>
      <c r="G118" s="20">
        <v>46022</v>
      </c>
      <c r="H118" s="21">
        <v>67533667</v>
      </c>
      <c r="I118" s="21">
        <v>7210000</v>
      </c>
      <c r="J118" s="5">
        <f>2643667+7210000+7210000+I118+I118</f>
        <v>31483667</v>
      </c>
      <c r="K118" s="6">
        <f t="shared" si="6"/>
        <v>36050000</v>
      </c>
      <c r="L118" s="1">
        <f t="shared" si="7"/>
        <v>0.46619217345327923</v>
      </c>
      <c r="M118" s="14">
        <v>0</v>
      </c>
      <c r="N118" s="13">
        <v>0</v>
      </c>
      <c r="O118" s="9"/>
    </row>
    <row r="119" spans="1:15" ht="75">
      <c r="A119" s="15" t="s">
        <v>318</v>
      </c>
      <c r="B119" s="16">
        <v>101912047</v>
      </c>
      <c r="C119" s="16">
        <v>6</v>
      </c>
      <c r="D119" s="9" t="s">
        <v>361</v>
      </c>
      <c r="E119" s="16" t="s">
        <v>275</v>
      </c>
      <c r="F119" s="17">
        <v>45741</v>
      </c>
      <c r="G119" s="20">
        <v>46022</v>
      </c>
      <c r="H119" s="21">
        <v>56856000</v>
      </c>
      <c r="I119" s="21">
        <v>6180000</v>
      </c>
      <c r="J119" s="5">
        <f>1236000+6180000+6180000+I119+I119</f>
        <v>25956000</v>
      </c>
      <c r="K119" s="6">
        <f t="shared" si="6"/>
        <v>30900000</v>
      </c>
      <c r="L119" s="1">
        <f t="shared" si="7"/>
        <v>0.45652173913043481</v>
      </c>
      <c r="M119" s="14">
        <v>0</v>
      </c>
      <c r="N119" s="13">
        <v>0</v>
      </c>
      <c r="O119" s="9"/>
    </row>
    <row r="120" spans="1:15" ht="60">
      <c r="A120" s="15" t="s">
        <v>319</v>
      </c>
      <c r="B120" s="16">
        <v>1073506407</v>
      </c>
      <c r="C120" s="16">
        <v>3</v>
      </c>
      <c r="D120" s="9" t="s">
        <v>362</v>
      </c>
      <c r="E120" s="16" t="s">
        <v>276</v>
      </c>
      <c r="F120" s="17">
        <v>45741</v>
      </c>
      <c r="G120" s="20">
        <v>45832</v>
      </c>
      <c r="H120" s="21">
        <v>26265000</v>
      </c>
      <c r="I120" s="21">
        <v>8755000</v>
      </c>
      <c r="J120" s="5">
        <f>1751000+8755000+8755000+7004000</f>
        <v>26265000</v>
      </c>
      <c r="K120" s="6">
        <f t="shared" si="6"/>
        <v>0</v>
      </c>
      <c r="L120" s="1">
        <f t="shared" si="7"/>
        <v>1</v>
      </c>
      <c r="M120" s="14">
        <v>0</v>
      </c>
      <c r="N120" s="13">
        <v>0</v>
      </c>
      <c r="O120" s="9"/>
    </row>
    <row r="121" spans="1:15" ht="60">
      <c r="A121" s="15" t="s">
        <v>320</v>
      </c>
      <c r="B121" s="16">
        <v>52823212</v>
      </c>
      <c r="C121" s="16">
        <v>6</v>
      </c>
      <c r="D121" s="9" t="s">
        <v>363</v>
      </c>
      <c r="E121" s="16" t="s">
        <v>277</v>
      </c>
      <c r="F121" s="17">
        <v>45741</v>
      </c>
      <c r="G121" s="20">
        <v>46022</v>
      </c>
      <c r="H121" s="21">
        <v>56856000</v>
      </c>
      <c r="I121" s="21">
        <v>6180000</v>
      </c>
      <c r="J121" s="5">
        <f>1236000+6180000+6180000+I121+I121</f>
        <v>25956000</v>
      </c>
      <c r="K121" s="6">
        <f t="shared" si="6"/>
        <v>30900000</v>
      </c>
      <c r="L121" s="1">
        <f t="shared" si="7"/>
        <v>0.45652173913043481</v>
      </c>
      <c r="M121" s="14">
        <v>0</v>
      </c>
      <c r="N121" s="13">
        <v>0</v>
      </c>
      <c r="O121" s="9"/>
    </row>
    <row r="122" spans="1:15" ht="60">
      <c r="A122" s="15" t="s">
        <v>321</v>
      </c>
      <c r="B122" s="16">
        <v>91430804</v>
      </c>
      <c r="C122" s="16">
        <v>0</v>
      </c>
      <c r="D122" s="9" t="s">
        <v>364</v>
      </c>
      <c r="E122" s="16" t="s">
        <v>278</v>
      </c>
      <c r="F122" s="17">
        <v>45743</v>
      </c>
      <c r="G122" s="20">
        <v>46022</v>
      </c>
      <c r="H122" s="21">
        <v>47036667</v>
      </c>
      <c r="I122" s="21">
        <v>5150000</v>
      </c>
      <c r="J122" s="5">
        <f>686667+5150000+5150000+I122+I122</f>
        <v>21286667</v>
      </c>
      <c r="K122" s="6">
        <f t="shared" si="6"/>
        <v>25750000</v>
      </c>
      <c r="L122" s="1">
        <f t="shared" si="7"/>
        <v>0.45255474840511123</v>
      </c>
      <c r="M122" s="14">
        <v>0</v>
      </c>
      <c r="N122" s="13">
        <v>0</v>
      </c>
      <c r="O122" s="9"/>
    </row>
    <row r="123" spans="1:15" ht="75">
      <c r="A123" s="15" t="s">
        <v>322</v>
      </c>
      <c r="B123" s="16">
        <v>52904871</v>
      </c>
      <c r="C123" s="16">
        <v>8</v>
      </c>
      <c r="D123" s="9" t="s">
        <v>365</v>
      </c>
      <c r="E123" s="16" t="s">
        <v>279</v>
      </c>
      <c r="F123" s="17">
        <v>45743</v>
      </c>
      <c r="G123" s="20">
        <v>45803</v>
      </c>
      <c r="H123" s="21">
        <v>18746000</v>
      </c>
      <c r="I123" s="21">
        <v>9373000</v>
      </c>
      <c r="J123" s="5">
        <f>1249733+9373000+8123267</f>
        <v>18746000</v>
      </c>
      <c r="K123" s="6">
        <f>H123-J123</f>
        <v>0</v>
      </c>
      <c r="L123" s="1">
        <f>1-(K123/H123)</f>
        <v>1</v>
      </c>
      <c r="M123" s="14">
        <v>0</v>
      </c>
      <c r="N123" s="13">
        <v>0</v>
      </c>
      <c r="O123" s="9"/>
    </row>
    <row r="124" spans="1:15" ht="105">
      <c r="A124" s="15" t="s">
        <v>378</v>
      </c>
      <c r="B124" s="16">
        <v>860013570</v>
      </c>
      <c r="C124" s="16">
        <v>3</v>
      </c>
      <c r="D124" s="9" t="s">
        <v>379</v>
      </c>
      <c r="E124" s="16" t="s">
        <v>380</v>
      </c>
      <c r="F124" s="20">
        <v>45750</v>
      </c>
      <c r="G124" s="20">
        <v>46022</v>
      </c>
      <c r="H124" s="21">
        <v>2344276199</v>
      </c>
      <c r="I124" s="21"/>
      <c r="J124" s="5">
        <f>122238319+11108172+5263702+64170251+23129960+119574000+23037500+203130+112190052+4285533+19929000+27173229+2102784+135257200+273800+55794000+9964500+37377780+4205568+45512317</f>
        <v>822790797</v>
      </c>
      <c r="K124" s="6">
        <f>H124-J124</f>
        <v>1521485402</v>
      </c>
      <c r="L124" s="1">
        <f t="shared" si="7"/>
        <v>0.35097860796052049</v>
      </c>
      <c r="M124" s="14"/>
      <c r="N124" s="13"/>
      <c r="O124" s="9"/>
    </row>
    <row r="125" spans="1:15" ht="75">
      <c r="A125" s="15" t="s">
        <v>323</v>
      </c>
      <c r="B125" s="16">
        <v>52696298</v>
      </c>
      <c r="C125" s="16">
        <v>3</v>
      </c>
      <c r="D125" s="9" t="s">
        <v>366</v>
      </c>
      <c r="E125" s="16" t="s">
        <v>280</v>
      </c>
      <c r="F125" s="17">
        <v>45744</v>
      </c>
      <c r="G125" s="20">
        <v>46018</v>
      </c>
      <c r="H125" s="21">
        <v>101970000</v>
      </c>
      <c r="I125" s="21">
        <v>11330000</v>
      </c>
      <c r="J125" s="5">
        <f>1330000+11330000+11330000+I125+I125</f>
        <v>46650000</v>
      </c>
      <c r="K125" s="6">
        <f t="shared" si="6"/>
        <v>55320000</v>
      </c>
      <c r="L125" s="1">
        <f t="shared" si="7"/>
        <v>0.45748749632244778</v>
      </c>
      <c r="M125" s="14">
        <v>0</v>
      </c>
      <c r="N125" s="13">
        <v>0</v>
      </c>
      <c r="O125" s="9"/>
    </row>
    <row r="126" spans="1:15" ht="105">
      <c r="A126" s="15" t="s">
        <v>324</v>
      </c>
      <c r="B126" s="16">
        <v>93356952</v>
      </c>
      <c r="C126" s="16">
        <v>3</v>
      </c>
      <c r="D126" s="9" t="s">
        <v>367</v>
      </c>
      <c r="E126" s="16" t="s">
        <v>281</v>
      </c>
      <c r="F126" s="17">
        <v>45744</v>
      </c>
      <c r="G126" s="20">
        <v>45804</v>
      </c>
      <c r="H126" s="21">
        <v>14420000</v>
      </c>
      <c r="I126" s="21">
        <v>7210000</v>
      </c>
      <c r="J126" s="5">
        <f>721000+7210000+6489000</f>
        <v>14420000</v>
      </c>
      <c r="K126" s="6">
        <f t="shared" si="6"/>
        <v>0</v>
      </c>
      <c r="L126" s="1">
        <f t="shared" si="7"/>
        <v>1</v>
      </c>
      <c r="M126" s="14">
        <v>0</v>
      </c>
      <c r="N126" s="13">
        <v>0</v>
      </c>
      <c r="O126" s="9"/>
    </row>
    <row r="127" spans="1:15" ht="105">
      <c r="A127" s="15" t="s">
        <v>325</v>
      </c>
      <c r="B127" s="16">
        <v>1049640069</v>
      </c>
      <c r="C127" s="16">
        <v>2</v>
      </c>
      <c r="D127" s="9" t="s">
        <v>368</v>
      </c>
      <c r="E127" s="16" t="s">
        <v>282</v>
      </c>
      <c r="F127" s="17">
        <v>45744</v>
      </c>
      <c r="G127" s="20">
        <v>45804</v>
      </c>
      <c r="H127" s="21">
        <v>14420000</v>
      </c>
      <c r="I127" s="21">
        <v>7210000</v>
      </c>
      <c r="J127" s="5">
        <f>721000+I127+6489000</f>
        <v>14420000</v>
      </c>
      <c r="K127" s="6">
        <f t="shared" ref="K127:K158" si="8">H127-J127</f>
        <v>0</v>
      </c>
      <c r="L127" s="1">
        <f>1-(K127/H127)</f>
        <v>1</v>
      </c>
      <c r="M127" s="14">
        <v>0</v>
      </c>
      <c r="N127" s="13">
        <v>0</v>
      </c>
      <c r="O127" s="9"/>
    </row>
    <row r="128" spans="1:15" ht="60">
      <c r="A128" s="15" t="s">
        <v>450</v>
      </c>
      <c r="B128" s="16">
        <v>1010179404</v>
      </c>
      <c r="C128" s="16">
        <v>9</v>
      </c>
      <c r="D128" s="34" t="s">
        <v>461</v>
      </c>
      <c r="E128" s="16" t="s">
        <v>381</v>
      </c>
      <c r="F128" s="17">
        <v>45748</v>
      </c>
      <c r="G128" s="17">
        <v>46022</v>
      </c>
      <c r="H128" s="18">
        <v>64890000</v>
      </c>
      <c r="I128" s="5">
        <v>7210000</v>
      </c>
      <c r="J128" s="5">
        <f>I128+I128+I128+I128</f>
        <v>28840000</v>
      </c>
      <c r="K128" s="35">
        <f t="shared" si="8"/>
        <v>36050000</v>
      </c>
      <c r="L128" s="1">
        <f>1-(K128/H128)</f>
        <v>0.44444444444444442</v>
      </c>
      <c r="M128" s="14">
        <v>0</v>
      </c>
      <c r="N128" s="13"/>
      <c r="O128" s="9"/>
    </row>
    <row r="129" spans="1:15" ht="90">
      <c r="A129" s="15" t="s">
        <v>451</v>
      </c>
      <c r="B129" s="16">
        <v>1121333092</v>
      </c>
      <c r="C129" s="16">
        <v>7</v>
      </c>
      <c r="D129" s="34" t="s">
        <v>462</v>
      </c>
      <c r="E129" s="16" t="s">
        <v>382</v>
      </c>
      <c r="F129" s="17">
        <v>45749</v>
      </c>
      <c r="G129" s="17">
        <v>45838</v>
      </c>
      <c r="H129" s="18">
        <v>13905000</v>
      </c>
      <c r="I129" s="18">
        <v>4635000</v>
      </c>
      <c r="J129" s="5">
        <f>4480500+2163000</f>
        <v>6643500</v>
      </c>
      <c r="K129" s="35">
        <f t="shared" si="8"/>
        <v>7261500</v>
      </c>
      <c r="L129" s="1">
        <f>1-(K129/H129)</f>
        <v>0.47777777777777775</v>
      </c>
      <c r="M129" s="14">
        <v>0</v>
      </c>
      <c r="N129" s="13"/>
      <c r="O129" s="9"/>
    </row>
    <row r="130" spans="1:15" ht="90">
      <c r="A130" s="15" t="s">
        <v>452</v>
      </c>
      <c r="B130" s="16">
        <v>1129570405</v>
      </c>
      <c r="C130" s="16">
        <v>3</v>
      </c>
      <c r="D130" s="34" t="s">
        <v>463</v>
      </c>
      <c r="E130" s="16" t="s">
        <v>383</v>
      </c>
      <c r="F130" s="17">
        <v>45748</v>
      </c>
      <c r="G130" s="17">
        <v>46022</v>
      </c>
      <c r="H130" s="18">
        <v>60255000</v>
      </c>
      <c r="I130" s="18">
        <v>6695000</v>
      </c>
      <c r="J130" s="5">
        <f>I130+I130+I130+I130</f>
        <v>26780000</v>
      </c>
      <c r="K130" s="35">
        <f t="shared" si="8"/>
        <v>33475000</v>
      </c>
      <c r="L130" s="1">
        <f t="shared" ref="L130:L193" si="9">1-(K130/H130)</f>
        <v>0.44444444444444442</v>
      </c>
      <c r="M130" s="14">
        <v>0</v>
      </c>
      <c r="N130" s="13"/>
      <c r="O130" s="9"/>
    </row>
    <row r="131" spans="1:15" ht="75">
      <c r="A131" s="15" t="s">
        <v>453</v>
      </c>
      <c r="B131" s="16">
        <v>80777891</v>
      </c>
      <c r="C131" s="16">
        <v>1</v>
      </c>
      <c r="D131" s="34" t="s">
        <v>464</v>
      </c>
      <c r="E131" s="16" t="s">
        <v>384</v>
      </c>
      <c r="F131" s="17">
        <v>45748</v>
      </c>
      <c r="G131" s="17">
        <v>46022</v>
      </c>
      <c r="H131" s="18">
        <v>55620000</v>
      </c>
      <c r="I131" s="18">
        <v>6180000</v>
      </c>
      <c r="J131" s="5">
        <f>I131+I131+I131+I131</f>
        <v>24720000</v>
      </c>
      <c r="K131" s="35">
        <f t="shared" si="8"/>
        <v>30900000</v>
      </c>
      <c r="L131" s="1">
        <f t="shared" si="9"/>
        <v>0.44444444444444442</v>
      </c>
      <c r="M131" s="14">
        <v>0</v>
      </c>
      <c r="N131" s="13"/>
      <c r="O131" s="9"/>
    </row>
    <row r="132" spans="1:15" ht="120">
      <c r="A132" s="15" t="s">
        <v>454</v>
      </c>
      <c r="B132" s="16">
        <v>80931890</v>
      </c>
      <c r="C132" s="16">
        <v>4</v>
      </c>
      <c r="D132" s="34" t="s">
        <v>465</v>
      </c>
      <c r="E132" s="16" t="s">
        <v>385</v>
      </c>
      <c r="F132" s="17">
        <v>45748</v>
      </c>
      <c r="G132" s="17">
        <v>46022</v>
      </c>
      <c r="H132" s="18">
        <v>78795000</v>
      </c>
      <c r="I132" s="18">
        <v>8755000</v>
      </c>
      <c r="J132" s="58">
        <f>I132+I132+I132+I132</f>
        <v>35020000</v>
      </c>
      <c r="K132" s="35">
        <f t="shared" si="8"/>
        <v>43775000</v>
      </c>
      <c r="L132" s="1">
        <f t="shared" si="9"/>
        <v>0.44444444444444442</v>
      </c>
      <c r="M132" s="14">
        <v>0</v>
      </c>
      <c r="N132" s="13"/>
      <c r="O132" s="9"/>
    </row>
    <row r="133" spans="1:15" ht="105">
      <c r="A133" s="15" t="s">
        <v>455</v>
      </c>
      <c r="B133" s="16">
        <v>1060647586</v>
      </c>
      <c r="C133" s="16">
        <v>0</v>
      </c>
      <c r="D133" s="34" t="s">
        <v>466</v>
      </c>
      <c r="E133" s="16" t="s">
        <v>386</v>
      </c>
      <c r="F133" s="17">
        <v>45748</v>
      </c>
      <c r="G133" s="17">
        <v>46022</v>
      </c>
      <c r="H133" s="18">
        <v>50985000</v>
      </c>
      <c r="I133" s="18">
        <v>5665000</v>
      </c>
      <c r="J133" s="5">
        <f>I133+I133</f>
        <v>11330000</v>
      </c>
      <c r="K133" s="35">
        <f t="shared" si="8"/>
        <v>39655000</v>
      </c>
      <c r="L133" s="1">
        <f t="shared" si="9"/>
        <v>0.22222222222222221</v>
      </c>
      <c r="M133" s="14">
        <v>0</v>
      </c>
      <c r="N133" s="13"/>
      <c r="O133" s="9"/>
    </row>
    <row r="134" spans="1:15" ht="45">
      <c r="A134" s="15" t="s">
        <v>456</v>
      </c>
      <c r="B134" s="16">
        <v>51980182</v>
      </c>
      <c r="C134" s="16">
        <v>1</v>
      </c>
      <c r="D134" s="34" t="s">
        <v>467</v>
      </c>
      <c r="E134" s="16" t="s">
        <v>387</v>
      </c>
      <c r="F134" s="17">
        <v>45749</v>
      </c>
      <c r="G134" s="17">
        <v>46022</v>
      </c>
      <c r="H134" s="18">
        <v>38328017</v>
      </c>
      <c r="I134" s="18">
        <v>4274500</v>
      </c>
      <c r="J134" s="58">
        <f>4132017+I134+I134+I134</f>
        <v>16955517</v>
      </c>
      <c r="K134" s="35">
        <f t="shared" si="8"/>
        <v>21372500</v>
      </c>
      <c r="L134" s="1">
        <f t="shared" si="9"/>
        <v>0.44237918700568313</v>
      </c>
      <c r="M134" s="14">
        <v>0</v>
      </c>
      <c r="N134" s="13"/>
      <c r="O134" s="9"/>
    </row>
    <row r="135" spans="1:15" ht="90">
      <c r="A135" s="15" t="s">
        <v>457</v>
      </c>
      <c r="B135" s="16">
        <v>1121338894</v>
      </c>
      <c r="C135" s="16">
        <v>1</v>
      </c>
      <c r="D135" s="34" t="s">
        <v>468</v>
      </c>
      <c r="E135" s="16" t="s">
        <v>388</v>
      </c>
      <c r="F135" s="17">
        <v>45754</v>
      </c>
      <c r="G135" s="17">
        <v>46022</v>
      </c>
      <c r="H135" s="18">
        <v>50796167</v>
      </c>
      <c r="I135" s="18">
        <v>5665000</v>
      </c>
      <c r="J135" s="58">
        <f>4532000+I135+I135+I135</f>
        <v>21527000</v>
      </c>
      <c r="K135" s="35">
        <f t="shared" si="8"/>
        <v>29269167</v>
      </c>
      <c r="L135" s="1">
        <f t="shared" si="9"/>
        <v>0.42379181878034222</v>
      </c>
      <c r="M135" s="14">
        <v>0</v>
      </c>
      <c r="N135" s="13"/>
      <c r="O135" s="9"/>
    </row>
    <row r="136" spans="1:15" ht="75">
      <c r="A136" s="15" t="s">
        <v>458</v>
      </c>
      <c r="B136" s="16">
        <v>1015400397</v>
      </c>
      <c r="C136" s="16">
        <v>0</v>
      </c>
      <c r="D136" s="34" t="s">
        <v>469</v>
      </c>
      <c r="E136" s="16" t="s">
        <v>389</v>
      </c>
      <c r="F136" s="17">
        <v>45756</v>
      </c>
      <c r="G136" s="17">
        <v>46022</v>
      </c>
      <c r="H136" s="18">
        <v>9900000</v>
      </c>
      <c r="I136" s="18">
        <v>3300000</v>
      </c>
      <c r="J136" s="5">
        <f>2640000+I136+I136</f>
        <v>9240000</v>
      </c>
      <c r="K136" s="35">
        <f t="shared" si="8"/>
        <v>660000</v>
      </c>
      <c r="L136" s="1">
        <f t="shared" si="9"/>
        <v>0.93333333333333335</v>
      </c>
      <c r="M136" s="14">
        <v>0</v>
      </c>
      <c r="N136" s="13"/>
      <c r="O136" s="9"/>
    </row>
    <row r="137" spans="1:15" ht="75">
      <c r="A137" s="15" t="s">
        <v>459</v>
      </c>
      <c r="B137" s="16">
        <v>52786047</v>
      </c>
      <c r="C137" s="16">
        <v>8</v>
      </c>
      <c r="D137" s="34" t="s">
        <v>470</v>
      </c>
      <c r="E137" s="16" t="s">
        <v>390</v>
      </c>
      <c r="F137" s="17">
        <v>45749</v>
      </c>
      <c r="G137" s="17">
        <v>46022</v>
      </c>
      <c r="H137" s="18">
        <v>78503167</v>
      </c>
      <c r="I137" s="18">
        <v>8755000</v>
      </c>
      <c r="J137" s="58">
        <f>8463167+I137+I137+I137</f>
        <v>34728167</v>
      </c>
      <c r="K137" s="35">
        <f t="shared" si="8"/>
        <v>43775000</v>
      </c>
      <c r="L137" s="1">
        <f t="shared" si="9"/>
        <v>0.44237918452385494</v>
      </c>
      <c r="M137" s="14">
        <v>0</v>
      </c>
      <c r="N137" s="13"/>
      <c r="O137" s="9"/>
    </row>
    <row r="138" spans="1:15" ht="135">
      <c r="A138" s="15" t="s">
        <v>460</v>
      </c>
      <c r="B138" s="16">
        <v>1006665445</v>
      </c>
      <c r="C138" s="16">
        <v>0</v>
      </c>
      <c r="D138" s="34" t="s">
        <v>471</v>
      </c>
      <c r="E138" s="16" t="s">
        <v>391</v>
      </c>
      <c r="F138" s="17">
        <v>45749</v>
      </c>
      <c r="G138" s="17">
        <v>46022</v>
      </c>
      <c r="H138" s="18">
        <v>41560500</v>
      </c>
      <c r="I138" s="18">
        <v>4635000</v>
      </c>
      <c r="J138" s="58">
        <f>4480500+I138+I138+I138</f>
        <v>18385500</v>
      </c>
      <c r="K138" s="35">
        <f t="shared" si="8"/>
        <v>23175000</v>
      </c>
      <c r="L138" s="1">
        <f t="shared" si="9"/>
        <v>0.44237918215613381</v>
      </c>
      <c r="M138" s="14">
        <v>0</v>
      </c>
      <c r="N138" s="13"/>
      <c r="O138" s="9"/>
    </row>
    <row r="139" spans="1:15" ht="75">
      <c r="A139" s="15" t="s">
        <v>15</v>
      </c>
      <c r="B139" s="16">
        <v>1081817848</v>
      </c>
      <c r="C139" s="16">
        <v>1</v>
      </c>
      <c r="D139" s="9" t="s">
        <v>374</v>
      </c>
      <c r="E139" s="16" t="s">
        <v>375</v>
      </c>
      <c r="F139" s="17">
        <v>45750</v>
      </c>
      <c r="G139" s="20">
        <v>46022</v>
      </c>
      <c r="H139" s="21">
        <v>74709334</v>
      </c>
      <c r="I139" s="21">
        <v>8755000</v>
      </c>
      <c r="J139" s="5">
        <v>2042833</v>
      </c>
      <c r="K139" s="6">
        <f t="shared" si="8"/>
        <v>72666501</v>
      </c>
      <c r="L139" s="1">
        <f t="shared" si="9"/>
        <v>2.7343745294262645E-2</v>
      </c>
      <c r="M139" s="14">
        <v>0</v>
      </c>
      <c r="N139" s="13">
        <v>0</v>
      </c>
      <c r="O139" s="9"/>
    </row>
    <row r="140" spans="1:15" s="40" customFormat="1" ht="60">
      <c r="A140" s="15" t="s">
        <v>472</v>
      </c>
      <c r="B140" s="16">
        <v>900239396</v>
      </c>
      <c r="C140" s="16">
        <v>3</v>
      </c>
      <c r="D140" s="36" t="s">
        <v>527</v>
      </c>
      <c r="E140" s="16" t="s">
        <v>392</v>
      </c>
      <c r="F140" s="17"/>
      <c r="G140" s="17">
        <v>46022</v>
      </c>
      <c r="H140" s="18">
        <v>42516678</v>
      </c>
      <c r="I140" s="18">
        <v>42516678</v>
      </c>
      <c r="J140" s="5">
        <v>4441252</v>
      </c>
      <c r="K140" s="37">
        <f t="shared" si="8"/>
        <v>38075426</v>
      </c>
      <c r="L140" s="38">
        <f t="shared" si="9"/>
        <v>0.10445905486783325</v>
      </c>
      <c r="M140" s="39">
        <v>0</v>
      </c>
      <c r="N140" s="21"/>
      <c r="O140" s="36"/>
    </row>
    <row r="141" spans="1:15" ht="60">
      <c r="A141" s="15" t="s">
        <v>473</v>
      </c>
      <c r="B141" s="16">
        <v>56098544</v>
      </c>
      <c r="C141" s="16">
        <v>1</v>
      </c>
      <c r="D141" s="9" t="s">
        <v>528</v>
      </c>
      <c r="E141" s="16" t="s">
        <v>393</v>
      </c>
      <c r="F141" s="17">
        <v>45750</v>
      </c>
      <c r="G141" s="17">
        <v>46022</v>
      </c>
      <c r="H141" s="18">
        <v>50607333</v>
      </c>
      <c r="I141" s="18">
        <v>5665000</v>
      </c>
      <c r="J141" s="58">
        <f>5287333+I141+I141+I141</f>
        <v>22282333</v>
      </c>
      <c r="K141" s="35">
        <f t="shared" si="8"/>
        <v>28325000</v>
      </c>
      <c r="L141" s="1">
        <f t="shared" si="9"/>
        <v>0.44029850377612267</v>
      </c>
      <c r="M141" s="14">
        <v>0</v>
      </c>
      <c r="N141" s="13"/>
      <c r="O141" s="9"/>
    </row>
    <row r="142" spans="1:15" ht="120">
      <c r="A142" s="15" t="s">
        <v>474</v>
      </c>
      <c r="B142" s="16">
        <v>1032376251</v>
      </c>
      <c r="C142" s="16">
        <v>1</v>
      </c>
      <c r="D142" s="9" t="s">
        <v>529</v>
      </c>
      <c r="E142" s="16" t="s">
        <v>394</v>
      </c>
      <c r="F142" s="17">
        <v>45750</v>
      </c>
      <c r="G142" s="17">
        <v>46022</v>
      </c>
      <c r="H142" s="18">
        <v>29480000</v>
      </c>
      <c r="I142" s="18">
        <v>3300000</v>
      </c>
      <c r="J142" s="58">
        <f>3080000+I142+I142+I142</f>
        <v>12980000</v>
      </c>
      <c r="K142" s="6">
        <f t="shared" si="8"/>
        <v>16500000</v>
      </c>
      <c r="L142" s="1">
        <f t="shared" si="9"/>
        <v>0.44029850746268662</v>
      </c>
      <c r="M142" s="14">
        <v>0</v>
      </c>
      <c r="N142" s="13"/>
      <c r="O142" s="9"/>
    </row>
    <row r="143" spans="1:15" ht="105">
      <c r="A143" s="15" t="s">
        <v>475</v>
      </c>
      <c r="B143" s="16">
        <v>52712916</v>
      </c>
      <c r="C143" s="16">
        <v>6</v>
      </c>
      <c r="D143" s="9" t="s">
        <v>530</v>
      </c>
      <c r="E143" s="16" t="s">
        <v>395</v>
      </c>
      <c r="F143" s="17">
        <v>45751</v>
      </c>
      <c r="G143" s="17">
        <v>46022</v>
      </c>
      <c r="H143" s="18">
        <v>64409333</v>
      </c>
      <c r="I143" s="18">
        <v>7210000</v>
      </c>
      <c r="J143" s="58">
        <f>6489000+7210000+I143+I143</f>
        <v>28119000</v>
      </c>
      <c r="K143" s="35">
        <f t="shared" si="8"/>
        <v>36290333</v>
      </c>
      <c r="L143" s="1">
        <f t="shared" si="9"/>
        <v>0.43656716643844151</v>
      </c>
      <c r="M143" s="14">
        <v>0</v>
      </c>
      <c r="N143" s="13"/>
      <c r="O143" s="9"/>
    </row>
    <row r="144" spans="1:15" ht="75">
      <c r="A144" s="15" t="s">
        <v>22</v>
      </c>
      <c r="B144" s="16">
        <v>1055228274</v>
      </c>
      <c r="C144" s="16">
        <v>2</v>
      </c>
      <c r="D144" s="9" t="s">
        <v>531</v>
      </c>
      <c r="E144" s="16" t="s">
        <v>396</v>
      </c>
      <c r="F144" s="17">
        <v>45750</v>
      </c>
      <c r="G144" s="17">
        <v>46022</v>
      </c>
      <c r="H144" s="18">
        <v>55208000</v>
      </c>
      <c r="I144" s="18">
        <v>6180000</v>
      </c>
      <c r="J144" s="58">
        <f>5768000+I144+I144+I144</f>
        <v>24308000</v>
      </c>
      <c r="K144" s="6">
        <f t="shared" si="8"/>
        <v>30900000</v>
      </c>
      <c r="L144" s="1">
        <f t="shared" si="9"/>
        <v>0.44029850746268662</v>
      </c>
      <c r="M144" s="14">
        <v>0</v>
      </c>
      <c r="N144" s="13"/>
      <c r="O144" s="9"/>
    </row>
    <row r="145" spans="1:15" ht="105">
      <c r="A145" s="15" t="s">
        <v>476</v>
      </c>
      <c r="B145" s="16">
        <v>53036634</v>
      </c>
      <c r="C145" s="16">
        <v>8</v>
      </c>
      <c r="D145" s="9" t="s">
        <v>532</v>
      </c>
      <c r="E145" s="16" t="s">
        <v>397</v>
      </c>
      <c r="F145" s="17">
        <v>45751</v>
      </c>
      <c r="G145" s="17">
        <v>45811</v>
      </c>
      <c r="H145" s="18">
        <v>17510000</v>
      </c>
      <c r="I145" s="18">
        <v>8755000</v>
      </c>
      <c r="J145" s="5">
        <f>7879500+8755000+875500</f>
        <v>17510000</v>
      </c>
      <c r="K145" s="6">
        <f t="shared" si="8"/>
        <v>0</v>
      </c>
      <c r="L145" s="1">
        <f t="shared" si="9"/>
        <v>1</v>
      </c>
      <c r="M145" s="14">
        <v>0</v>
      </c>
      <c r="N145" s="13"/>
      <c r="O145" s="9"/>
    </row>
    <row r="146" spans="1:15" ht="60">
      <c r="A146" s="15" t="s">
        <v>477</v>
      </c>
      <c r="B146" s="16">
        <v>15435023</v>
      </c>
      <c r="C146" s="16">
        <v>1</v>
      </c>
      <c r="D146" s="9" t="s">
        <v>533</v>
      </c>
      <c r="E146" s="16" t="s">
        <v>398</v>
      </c>
      <c r="F146" s="17">
        <v>45751</v>
      </c>
      <c r="G146" s="17">
        <v>45841</v>
      </c>
      <c r="H146" s="18">
        <v>18540000</v>
      </c>
      <c r="I146" s="18">
        <v>6180000</v>
      </c>
      <c r="J146" s="5">
        <f>5562000+5562000+5562000+1854000</f>
        <v>18540000</v>
      </c>
      <c r="K146" s="6">
        <f t="shared" si="8"/>
        <v>0</v>
      </c>
      <c r="L146" s="1">
        <f t="shared" si="9"/>
        <v>1</v>
      </c>
      <c r="M146" s="14">
        <v>0</v>
      </c>
      <c r="N146" s="13"/>
      <c r="O146" s="9"/>
    </row>
    <row r="147" spans="1:15" ht="45">
      <c r="A147" s="15" t="s">
        <v>478</v>
      </c>
      <c r="B147" s="16">
        <v>800252836</v>
      </c>
      <c r="C147" s="16">
        <v>3</v>
      </c>
      <c r="D147" s="9" t="s">
        <v>534</v>
      </c>
      <c r="E147" s="16" t="s">
        <v>399</v>
      </c>
      <c r="F147" s="17">
        <v>45761</v>
      </c>
      <c r="G147" s="17">
        <v>46022</v>
      </c>
      <c r="H147" s="18">
        <v>21869820</v>
      </c>
      <c r="I147" s="18">
        <v>21869820</v>
      </c>
      <c r="J147" s="5">
        <f>1265723+2233630+223630</f>
        <v>3722983</v>
      </c>
      <c r="K147" s="6">
        <f t="shared" si="8"/>
        <v>18146837</v>
      </c>
      <c r="L147" s="1">
        <f t="shared" si="9"/>
        <v>0.17023381993999032</v>
      </c>
      <c r="M147" s="14">
        <v>0</v>
      </c>
      <c r="N147" s="13"/>
      <c r="O147" s="9"/>
    </row>
    <row r="148" spans="1:15" ht="75">
      <c r="A148" s="15" t="s">
        <v>479</v>
      </c>
      <c r="B148" s="16">
        <v>1003313124</v>
      </c>
      <c r="C148" s="16">
        <v>0</v>
      </c>
      <c r="D148" s="9" t="s">
        <v>535</v>
      </c>
      <c r="E148" s="16" t="s">
        <v>400</v>
      </c>
      <c r="F148" s="17">
        <v>45755</v>
      </c>
      <c r="G148" s="17">
        <v>46022</v>
      </c>
      <c r="H148" s="18">
        <v>37473117</v>
      </c>
      <c r="I148" s="18">
        <v>4274500</v>
      </c>
      <c r="J148" s="58">
        <f>3277117+I148+I148+I148</f>
        <v>16100617</v>
      </c>
      <c r="K148" s="6">
        <f t="shared" si="8"/>
        <v>21372500</v>
      </c>
      <c r="L148" s="1">
        <f t="shared" si="9"/>
        <v>0.4296577997501515</v>
      </c>
      <c r="M148" s="14">
        <v>0</v>
      </c>
      <c r="N148" s="13"/>
      <c r="O148" s="9"/>
    </row>
    <row r="149" spans="1:15" ht="75">
      <c r="A149" s="15" t="s">
        <v>480</v>
      </c>
      <c r="B149" s="16">
        <v>1233345600</v>
      </c>
      <c r="C149" s="16">
        <v>7</v>
      </c>
      <c r="D149" s="9" t="s">
        <v>536</v>
      </c>
      <c r="E149" s="16" t="s">
        <v>401</v>
      </c>
      <c r="F149" s="17">
        <v>45754</v>
      </c>
      <c r="G149" s="17">
        <v>46022</v>
      </c>
      <c r="H149" s="18">
        <v>35349600</v>
      </c>
      <c r="I149" s="18">
        <v>4017000</v>
      </c>
      <c r="J149" s="58">
        <f>3213600+4017000+I149+I149</f>
        <v>15264600</v>
      </c>
      <c r="K149" s="6">
        <f t="shared" si="8"/>
        <v>20085000</v>
      </c>
      <c r="L149" s="1">
        <f t="shared" si="9"/>
        <v>0.43181818181818177</v>
      </c>
      <c r="M149" s="14">
        <v>0</v>
      </c>
      <c r="N149" s="13"/>
      <c r="O149" s="9"/>
    </row>
    <row r="150" spans="1:15" ht="45">
      <c r="A150" s="15" t="s">
        <v>481</v>
      </c>
      <c r="B150" s="16">
        <v>17959320</v>
      </c>
      <c r="C150" s="16">
        <v>0</v>
      </c>
      <c r="D150" s="9" t="s">
        <v>537</v>
      </c>
      <c r="E150" s="16" t="s">
        <v>402</v>
      </c>
      <c r="F150" s="17">
        <v>45754</v>
      </c>
      <c r="G150" s="17">
        <v>46022</v>
      </c>
      <c r="H150" s="18">
        <v>55002000</v>
      </c>
      <c r="I150" s="18">
        <v>6180000</v>
      </c>
      <c r="J150" s="58">
        <f>4944000+6180000+I150+I150</f>
        <v>23484000</v>
      </c>
      <c r="K150" s="6">
        <f t="shared" si="8"/>
        <v>31518000</v>
      </c>
      <c r="L150" s="1">
        <f t="shared" si="9"/>
        <v>0.4269662921348315</v>
      </c>
      <c r="M150" s="14">
        <v>0</v>
      </c>
      <c r="N150" s="13"/>
      <c r="O150" s="9"/>
    </row>
    <row r="151" spans="1:15" ht="75">
      <c r="A151" s="15" t="s">
        <v>19</v>
      </c>
      <c r="B151" s="16">
        <v>53106586</v>
      </c>
      <c r="C151" s="16">
        <v>3</v>
      </c>
      <c r="D151" s="9" t="s">
        <v>538</v>
      </c>
      <c r="E151" s="16" t="s">
        <v>403</v>
      </c>
      <c r="F151" s="17">
        <v>45756</v>
      </c>
      <c r="G151" s="17">
        <v>46022</v>
      </c>
      <c r="H151" s="18">
        <v>94451000</v>
      </c>
      <c r="I151" s="18">
        <v>10815000</v>
      </c>
      <c r="J151" s="58">
        <f>7931000+10815000+I151+I151</f>
        <v>40376000</v>
      </c>
      <c r="K151" s="6">
        <f t="shared" si="8"/>
        <v>54075000</v>
      </c>
      <c r="L151" s="1">
        <f t="shared" si="9"/>
        <v>0.4274809160305344</v>
      </c>
      <c r="M151" s="14">
        <v>0</v>
      </c>
      <c r="N151" s="13"/>
      <c r="O151" s="9"/>
    </row>
    <row r="152" spans="1:15" ht="120">
      <c r="A152" s="15" t="s">
        <v>482</v>
      </c>
      <c r="B152" s="16">
        <v>1014195504</v>
      </c>
      <c r="C152" s="16">
        <v>9</v>
      </c>
      <c r="D152" s="9" t="s">
        <v>539</v>
      </c>
      <c r="E152" s="16" t="s">
        <v>404</v>
      </c>
      <c r="F152" s="17">
        <v>45757</v>
      </c>
      <c r="G152" s="17">
        <v>45816</v>
      </c>
      <c r="H152" s="18">
        <v>12360000</v>
      </c>
      <c r="I152" s="18">
        <v>6180000</v>
      </c>
      <c r="J152" s="5">
        <f>4326000+6180000+1854000</f>
        <v>12360000</v>
      </c>
      <c r="K152" s="6">
        <f t="shared" si="8"/>
        <v>0</v>
      </c>
      <c r="L152" s="1">
        <f t="shared" si="9"/>
        <v>1</v>
      </c>
      <c r="M152" s="14">
        <v>0</v>
      </c>
      <c r="N152" s="13"/>
      <c r="O152" s="9"/>
    </row>
    <row r="153" spans="1:15" ht="60">
      <c r="A153" s="15" t="s">
        <v>483</v>
      </c>
      <c r="B153" s="16">
        <v>79715801</v>
      </c>
      <c r="C153" s="16">
        <v>1</v>
      </c>
      <c r="D153" s="9" t="s">
        <v>540</v>
      </c>
      <c r="E153" s="16" t="s">
        <v>405</v>
      </c>
      <c r="F153" s="17">
        <v>45757</v>
      </c>
      <c r="G153" s="17">
        <v>46022</v>
      </c>
      <c r="H153" s="18">
        <v>62727000</v>
      </c>
      <c r="I153" s="18">
        <v>7210000</v>
      </c>
      <c r="J153" s="58">
        <f>5047000+7210000+7210000+I153</f>
        <v>26677000</v>
      </c>
      <c r="K153" s="6">
        <f t="shared" si="8"/>
        <v>36050000</v>
      </c>
      <c r="L153" s="1">
        <f t="shared" si="9"/>
        <v>0.42528735632183912</v>
      </c>
      <c r="M153" s="14">
        <v>0</v>
      </c>
      <c r="N153" s="13"/>
      <c r="O153" s="9"/>
    </row>
    <row r="154" spans="1:15" ht="90">
      <c r="A154" s="15" t="s">
        <v>484</v>
      </c>
      <c r="B154" s="16">
        <v>79304933</v>
      </c>
      <c r="C154" s="16">
        <v>1</v>
      </c>
      <c r="D154" s="9" t="s">
        <v>541</v>
      </c>
      <c r="E154" s="16" t="s">
        <v>406</v>
      </c>
      <c r="F154" s="17">
        <v>45757</v>
      </c>
      <c r="G154" s="17">
        <v>46022</v>
      </c>
      <c r="H154" s="18">
        <v>62727000</v>
      </c>
      <c r="I154" s="18">
        <v>7210000</v>
      </c>
      <c r="J154" s="58">
        <f>5047000+7210000+I154+I154</f>
        <v>26677000</v>
      </c>
      <c r="K154" s="6">
        <f t="shared" si="8"/>
        <v>36050000</v>
      </c>
      <c r="L154" s="1">
        <f t="shared" si="9"/>
        <v>0.42528735632183912</v>
      </c>
      <c r="M154" s="14">
        <v>0</v>
      </c>
      <c r="N154" s="13"/>
      <c r="O154" s="9"/>
    </row>
    <row r="155" spans="1:15" ht="75">
      <c r="A155" s="15" t="s">
        <v>485</v>
      </c>
      <c r="B155" s="16">
        <v>1127947690</v>
      </c>
      <c r="C155" s="16">
        <v>9</v>
      </c>
      <c r="D155" s="9" t="s">
        <v>542</v>
      </c>
      <c r="E155" s="16" t="s">
        <v>407</v>
      </c>
      <c r="F155" s="17">
        <v>45757</v>
      </c>
      <c r="G155" s="17">
        <v>46000</v>
      </c>
      <c r="H155" s="18">
        <v>74984000</v>
      </c>
      <c r="I155" s="18">
        <v>9373000</v>
      </c>
      <c r="J155" s="58">
        <f>6561000+I155+I155+I155</f>
        <v>34680000</v>
      </c>
      <c r="K155" s="6">
        <f t="shared" si="8"/>
        <v>40304000</v>
      </c>
      <c r="L155" s="1">
        <f t="shared" si="9"/>
        <v>0.46249866638216153</v>
      </c>
      <c r="M155" s="14">
        <v>0</v>
      </c>
      <c r="N155" s="13"/>
      <c r="O155" s="9"/>
    </row>
    <row r="156" spans="1:15" ht="60">
      <c r="A156" s="15" t="s">
        <v>486</v>
      </c>
      <c r="B156" s="16">
        <v>1048847403</v>
      </c>
      <c r="C156" s="16">
        <v>6</v>
      </c>
      <c r="D156" s="9" t="s">
        <v>543</v>
      </c>
      <c r="E156" s="16" t="s">
        <v>408</v>
      </c>
      <c r="F156" s="17">
        <v>45757</v>
      </c>
      <c r="G156" s="17">
        <v>46022</v>
      </c>
      <c r="H156" s="18">
        <v>58246500</v>
      </c>
      <c r="I156" s="18">
        <v>6695000</v>
      </c>
      <c r="J156" s="58">
        <f>3570666+I156+I156+I156</f>
        <v>23655666</v>
      </c>
      <c r="K156" s="6">
        <f t="shared" si="8"/>
        <v>34590834</v>
      </c>
      <c r="L156" s="1">
        <f t="shared" si="9"/>
        <v>0.40613025675362469</v>
      </c>
      <c r="M156" s="14">
        <v>0</v>
      </c>
      <c r="N156" s="13"/>
      <c r="O156" s="9"/>
    </row>
    <row r="157" spans="1:15" ht="105">
      <c r="A157" s="15" t="s">
        <v>487</v>
      </c>
      <c r="B157" s="16">
        <v>1030574578</v>
      </c>
      <c r="C157" s="16">
        <v>8</v>
      </c>
      <c r="D157" s="9" t="s">
        <v>544</v>
      </c>
      <c r="E157" s="16" t="s">
        <v>409</v>
      </c>
      <c r="F157" s="17">
        <v>45758</v>
      </c>
      <c r="G157" s="17">
        <v>46022</v>
      </c>
      <c r="H157" s="18">
        <v>49096667</v>
      </c>
      <c r="I157" s="18">
        <v>5665000</v>
      </c>
      <c r="J157" s="58">
        <f>3776667+I157+I157+I157</f>
        <v>20771667</v>
      </c>
      <c r="K157" s="6">
        <f t="shared" si="8"/>
        <v>28325000</v>
      </c>
      <c r="L157" s="1">
        <f t="shared" si="9"/>
        <v>0.42307692699384258</v>
      </c>
      <c r="M157" s="14">
        <v>0</v>
      </c>
      <c r="N157" s="13"/>
      <c r="O157" s="9"/>
    </row>
    <row r="158" spans="1:15" ht="75">
      <c r="A158" s="15" t="s">
        <v>488</v>
      </c>
      <c r="B158" s="16">
        <v>1100961438</v>
      </c>
      <c r="C158" s="16">
        <v>9</v>
      </c>
      <c r="D158" s="9" t="s">
        <v>545</v>
      </c>
      <c r="E158" s="16" t="s">
        <v>410</v>
      </c>
      <c r="F158" s="17">
        <v>45761</v>
      </c>
      <c r="G158" s="17">
        <v>46022</v>
      </c>
      <c r="H158" s="18">
        <v>58246500</v>
      </c>
      <c r="I158" s="18">
        <v>6695000</v>
      </c>
      <c r="J158" s="58">
        <f>3793833+I158+I158+I158</f>
        <v>23878833</v>
      </c>
      <c r="K158" s="6">
        <f t="shared" si="8"/>
        <v>34367667</v>
      </c>
      <c r="L158" s="1">
        <f t="shared" si="9"/>
        <v>0.40996168010095024</v>
      </c>
      <c r="M158" s="14">
        <v>0</v>
      </c>
      <c r="N158" s="13"/>
      <c r="O158" s="9"/>
    </row>
    <row r="159" spans="1:15" ht="105">
      <c r="A159" s="15" t="s">
        <v>489</v>
      </c>
      <c r="B159" s="16">
        <v>63514972</v>
      </c>
      <c r="C159" s="16" t="s">
        <v>526</v>
      </c>
      <c r="D159" s="9" t="s">
        <v>546</v>
      </c>
      <c r="E159" s="16" t="s">
        <v>411</v>
      </c>
      <c r="F159" s="17" t="s">
        <v>526</v>
      </c>
      <c r="G159" s="17">
        <v>45999</v>
      </c>
      <c r="H159" s="18">
        <v>62486667</v>
      </c>
      <c r="I159" s="18">
        <v>7210000</v>
      </c>
      <c r="K159" s="6">
        <f t="shared" ref="K159:K190" si="10">H159-J159</f>
        <v>62486667</v>
      </c>
      <c r="L159" s="1">
        <f t="shared" si="9"/>
        <v>0</v>
      </c>
      <c r="M159" s="14">
        <v>0</v>
      </c>
      <c r="N159" s="13"/>
      <c r="O159" s="9"/>
    </row>
    <row r="160" spans="1:15" ht="60">
      <c r="A160" s="15" t="s">
        <v>490</v>
      </c>
      <c r="B160" s="16">
        <v>39526262</v>
      </c>
      <c r="C160" s="16">
        <v>3</v>
      </c>
      <c r="D160" s="9" t="s">
        <v>547</v>
      </c>
      <c r="E160" s="16" t="s">
        <v>412</v>
      </c>
      <c r="F160" s="17">
        <v>45761</v>
      </c>
      <c r="G160" s="17">
        <v>46022</v>
      </c>
      <c r="H160" s="18">
        <v>62486666</v>
      </c>
      <c r="I160" s="18">
        <v>7210000</v>
      </c>
      <c r="J160" s="58">
        <f>4085666+I160+I160+I160</f>
        <v>25715666</v>
      </c>
      <c r="K160" s="6">
        <f t="shared" si="10"/>
        <v>36771000</v>
      </c>
      <c r="L160" s="1">
        <f t="shared" si="9"/>
        <v>0.41153845526019905</v>
      </c>
      <c r="M160" s="14">
        <v>0</v>
      </c>
      <c r="N160" s="13"/>
      <c r="O160" s="9"/>
    </row>
    <row r="161" spans="1:15" ht="30">
      <c r="A161" s="15" t="s">
        <v>491</v>
      </c>
      <c r="B161" s="16">
        <v>800153993</v>
      </c>
      <c r="C161" s="16">
        <v>4</v>
      </c>
      <c r="D161" s="9" t="s">
        <v>548</v>
      </c>
      <c r="E161" s="16" t="s">
        <v>413</v>
      </c>
      <c r="F161" s="17">
        <v>45753</v>
      </c>
      <c r="G161" s="17">
        <v>46006</v>
      </c>
      <c r="H161" s="18">
        <v>67931150</v>
      </c>
      <c r="I161" s="18">
        <v>67931150</v>
      </c>
      <c r="K161" s="6">
        <f t="shared" si="10"/>
        <v>67931150</v>
      </c>
      <c r="L161" s="1">
        <f t="shared" si="9"/>
        <v>0</v>
      </c>
      <c r="M161" s="14">
        <v>0</v>
      </c>
      <c r="N161" s="13"/>
      <c r="O161" s="9"/>
    </row>
    <row r="162" spans="1:15" ht="60">
      <c r="A162" s="15" t="s">
        <v>492</v>
      </c>
      <c r="B162" s="16">
        <v>16278200</v>
      </c>
      <c r="C162" s="16">
        <v>9</v>
      </c>
      <c r="D162" s="9" t="s">
        <v>549</v>
      </c>
      <c r="E162" s="16" t="s">
        <v>414</v>
      </c>
      <c r="F162" s="17">
        <v>45763</v>
      </c>
      <c r="G162" s="17">
        <v>46022</v>
      </c>
      <c r="H162" s="18">
        <v>66177500</v>
      </c>
      <c r="I162" s="18">
        <v>7725000</v>
      </c>
      <c r="J162" s="58">
        <f>3862500+I162+I162+I162</f>
        <v>27037500</v>
      </c>
      <c r="K162" s="6">
        <f t="shared" si="10"/>
        <v>39140000</v>
      </c>
      <c r="L162" s="1">
        <f t="shared" si="9"/>
        <v>0.40856031128404668</v>
      </c>
      <c r="M162" s="14">
        <v>0</v>
      </c>
      <c r="N162" s="13"/>
      <c r="O162" s="9"/>
    </row>
    <row r="163" spans="1:15" ht="75">
      <c r="A163" s="15" t="s">
        <v>493</v>
      </c>
      <c r="B163" s="16">
        <v>33102170</v>
      </c>
      <c r="C163" s="16">
        <v>2</v>
      </c>
      <c r="D163" s="9" t="s">
        <v>550</v>
      </c>
      <c r="E163" s="16" t="s">
        <v>415</v>
      </c>
      <c r="F163" s="17">
        <v>45761</v>
      </c>
      <c r="G163" s="17">
        <v>46022</v>
      </c>
      <c r="H163" s="18">
        <v>58023333</v>
      </c>
      <c r="I163" s="18">
        <v>6695000</v>
      </c>
      <c r="J163" s="58">
        <f>3793833+I163+I163+I163</f>
        <v>23878833</v>
      </c>
      <c r="K163" s="6">
        <f t="shared" si="10"/>
        <v>34144500</v>
      </c>
      <c r="L163" s="1">
        <f t="shared" si="9"/>
        <v>0.41153845815785872</v>
      </c>
      <c r="M163" s="14">
        <v>0</v>
      </c>
      <c r="N163" s="13"/>
      <c r="O163" s="9"/>
    </row>
    <row r="164" spans="1:15" ht="90">
      <c r="A164" s="15" t="s">
        <v>494</v>
      </c>
      <c r="B164" s="16">
        <v>1045745169</v>
      </c>
      <c r="C164" s="16">
        <v>8</v>
      </c>
      <c r="D164" s="9" t="s">
        <v>551</v>
      </c>
      <c r="E164" s="16" t="s">
        <v>416</v>
      </c>
      <c r="F164" s="17">
        <v>45761</v>
      </c>
      <c r="G164" s="17">
        <v>46022</v>
      </c>
      <c r="H164" s="18">
        <v>53560000</v>
      </c>
      <c r="I164" s="18">
        <v>6180000</v>
      </c>
      <c r="J164" s="58">
        <f>3296000+I164+I164+I164</f>
        <v>21836000</v>
      </c>
      <c r="K164" s="6">
        <f t="shared" si="10"/>
        <v>31724000</v>
      </c>
      <c r="L164" s="1">
        <f t="shared" si="9"/>
        <v>0.40769230769230769</v>
      </c>
      <c r="M164" s="14">
        <v>0</v>
      </c>
      <c r="N164" s="13"/>
      <c r="O164" s="9"/>
    </row>
    <row r="165" spans="1:15" ht="60">
      <c r="A165" s="15" t="s">
        <v>495</v>
      </c>
      <c r="B165" s="16">
        <v>1121332735</v>
      </c>
      <c r="C165" s="16">
        <v>1</v>
      </c>
      <c r="D165" s="9" t="s">
        <v>552</v>
      </c>
      <c r="E165" s="16" t="s">
        <v>417</v>
      </c>
      <c r="F165" s="17">
        <v>45761</v>
      </c>
      <c r="G165" s="17">
        <v>46022</v>
      </c>
      <c r="H165" s="18">
        <v>22248000</v>
      </c>
      <c r="I165" s="18">
        <v>3708000</v>
      </c>
      <c r="J165" s="58">
        <f>101200+I165+I165+I165</f>
        <v>11225200</v>
      </c>
      <c r="K165" s="6">
        <f t="shared" si="10"/>
        <v>11022800</v>
      </c>
      <c r="L165" s="1">
        <f t="shared" si="9"/>
        <v>0.5045487234807623</v>
      </c>
      <c r="M165" s="14">
        <v>0</v>
      </c>
      <c r="N165" s="13"/>
      <c r="O165" s="9"/>
    </row>
    <row r="166" spans="1:15" ht="30">
      <c r="A166" s="15" t="s">
        <v>496</v>
      </c>
      <c r="B166" s="16">
        <v>830075303</v>
      </c>
      <c r="C166" s="16">
        <v>1</v>
      </c>
      <c r="D166" s="9" t="s">
        <v>553</v>
      </c>
      <c r="E166" s="16" t="s">
        <v>418</v>
      </c>
      <c r="F166" s="17">
        <v>45768</v>
      </c>
      <c r="G166" s="17">
        <v>45858</v>
      </c>
      <c r="H166" s="18">
        <v>276606913</v>
      </c>
      <c r="I166" s="18">
        <v>276606913</v>
      </c>
      <c r="J166" s="5">
        <f>276606913</f>
        <v>276606913</v>
      </c>
      <c r="K166" s="6">
        <f t="shared" si="10"/>
        <v>0</v>
      </c>
      <c r="L166" s="1">
        <f t="shared" si="9"/>
        <v>1</v>
      </c>
      <c r="M166" s="14">
        <v>0</v>
      </c>
      <c r="N166" s="13"/>
      <c r="O166" s="9"/>
    </row>
    <row r="167" spans="1:15" ht="60">
      <c r="A167" s="15" t="s">
        <v>497</v>
      </c>
      <c r="B167" s="16">
        <v>65717836</v>
      </c>
      <c r="C167" s="16">
        <v>5</v>
      </c>
      <c r="D167" s="9" t="s">
        <v>554</v>
      </c>
      <c r="E167" s="16" t="s">
        <v>419</v>
      </c>
      <c r="F167" s="17">
        <v>45769</v>
      </c>
      <c r="G167" s="17">
        <v>46022</v>
      </c>
      <c r="H167" s="18">
        <v>51294000</v>
      </c>
      <c r="I167" s="18">
        <v>6180000</v>
      </c>
      <c r="J167" s="5">
        <f>1854000+I167</f>
        <v>8034000</v>
      </c>
      <c r="K167" s="6">
        <f t="shared" si="10"/>
        <v>43260000</v>
      </c>
      <c r="L167" s="1">
        <f t="shared" si="9"/>
        <v>0.15662650602409633</v>
      </c>
      <c r="M167" s="14">
        <v>0</v>
      </c>
      <c r="N167" s="13"/>
      <c r="O167" s="9"/>
    </row>
    <row r="168" spans="1:15" ht="45">
      <c r="A168" s="15" t="s">
        <v>498</v>
      </c>
      <c r="B168" s="16">
        <v>901677435</v>
      </c>
      <c r="C168" s="16"/>
      <c r="D168" s="9" t="s">
        <v>555</v>
      </c>
      <c r="E168" s="16" t="s">
        <v>420</v>
      </c>
      <c r="F168" s="17">
        <v>45758</v>
      </c>
      <c r="G168" s="17">
        <v>46011</v>
      </c>
      <c r="H168" s="18">
        <v>351735305</v>
      </c>
      <c r="I168" s="18">
        <v>351735305</v>
      </c>
      <c r="J168" s="5">
        <f>43966913+43866198.5+44076772</f>
        <v>131909883.5</v>
      </c>
      <c r="K168" s="6">
        <f t="shared" si="10"/>
        <v>219825421.5</v>
      </c>
      <c r="L168" s="1">
        <f t="shared" si="9"/>
        <v>0.37502599717705332</v>
      </c>
      <c r="M168" s="14">
        <v>0</v>
      </c>
      <c r="N168" s="13"/>
      <c r="O168" s="9"/>
    </row>
    <row r="169" spans="1:15" ht="60">
      <c r="A169" s="15" t="s">
        <v>499</v>
      </c>
      <c r="B169" s="16">
        <v>901035950</v>
      </c>
      <c r="C169" s="16"/>
      <c r="D169" s="9" t="s">
        <v>556</v>
      </c>
      <c r="E169" s="16" t="s">
        <v>421</v>
      </c>
      <c r="F169" s="17"/>
      <c r="G169" s="17">
        <v>46022</v>
      </c>
      <c r="H169" s="18">
        <v>1500000</v>
      </c>
      <c r="I169" s="18"/>
      <c r="J169" s="5">
        <v>1500000</v>
      </c>
      <c r="K169" s="6">
        <f t="shared" si="10"/>
        <v>0</v>
      </c>
      <c r="L169" s="1">
        <f t="shared" si="9"/>
        <v>1</v>
      </c>
      <c r="M169" s="14">
        <v>0</v>
      </c>
      <c r="N169" s="13"/>
      <c r="O169" s="9"/>
    </row>
    <row r="170" spans="1:15" ht="60">
      <c r="A170" s="15" t="s">
        <v>500</v>
      </c>
      <c r="B170" s="16">
        <v>1000852262</v>
      </c>
      <c r="C170" s="16">
        <v>1</v>
      </c>
      <c r="D170" s="9" t="s">
        <v>557</v>
      </c>
      <c r="E170" s="16" t="s">
        <v>422</v>
      </c>
      <c r="F170" s="17"/>
      <c r="G170" s="17">
        <v>46022</v>
      </c>
      <c r="H170" s="18">
        <v>36846602</v>
      </c>
      <c r="I170" s="18"/>
      <c r="J170" s="5">
        <v>11111000</v>
      </c>
      <c r="K170" s="6">
        <f t="shared" si="10"/>
        <v>25735602</v>
      </c>
      <c r="L170" s="1">
        <f t="shared" si="9"/>
        <v>0.30154748055193803</v>
      </c>
      <c r="M170" s="14">
        <v>0</v>
      </c>
      <c r="N170" s="13"/>
      <c r="O170" s="9"/>
    </row>
    <row r="171" spans="1:15" ht="30">
      <c r="A171" s="15" t="s">
        <v>501</v>
      </c>
      <c r="B171" s="16"/>
      <c r="C171" s="16"/>
      <c r="D171" s="9" t="s">
        <v>558</v>
      </c>
      <c r="E171" s="16" t="s">
        <v>423</v>
      </c>
      <c r="F171" s="17"/>
      <c r="G171" s="17">
        <v>46022</v>
      </c>
      <c r="H171" s="18">
        <v>46961487</v>
      </c>
      <c r="I171" s="18"/>
      <c r="J171" s="5">
        <f>8882536.91+740606.71+6006344.45</f>
        <v>15629488.07</v>
      </c>
      <c r="K171" s="6">
        <f t="shared" si="10"/>
        <v>31331998.93</v>
      </c>
      <c r="L171" s="1">
        <f t="shared" si="9"/>
        <v>0.33281501648361345</v>
      </c>
      <c r="M171" s="14">
        <v>0</v>
      </c>
      <c r="N171" s="13"/>
      <c r="O171" s="9"/>
    </row>
    <row r="172" spans="1:15" ht="60">
      <c r="A172" s="15" t="s">
        <v>502</v>
      </c>
      <c r="B172" s="16">
        <v>35529449</v>
      </c>
      <c r="C172" s="16">
        <v>2</v>
      </c>
      <c r="D172" s="9" t="s">
        <v>559</v>
      </c>
      <c r="E172" s="16" t="s">
        <v>424</v>
      </c>
      <c r="F172" s="17">
        <v>45763</v>
      </c>
      <c r="G172" s="17">
        <v>46022</v>
      </c>
      <c r="H172" s="18">
        <v>74417500</v>
      </c>
      <c r="I172" s="18">
        <v>8755000</v>
      </c>
      <c r="J172" s="58">
        <f>4377500+I172+I172+I172</f>
        <v>30642500</v>
      </c>
      <c r="K172" s="6">
        <f t="shared" si="10"/>
        <v>43775000</v>
      </c>
      <c r="L172" s="1">
        <f t="shared" si="9"/>
        <v>0.41176470588235292</v>
      </c>
      <c r="M172" s="14">
        <v>0</v>
      </c>
      <c r="N172" s="13"/>
      <c r="O172" s="9"/>
    </row>
    <row r="173" spans="1:15" ht="45">
      <c r="A173" s="15" t="s">
        <v>503</v>
      </c>
      <c r="B173" s="16">
        <v>79737490</v>
      </c>
      <c r="C173" s="16">
        <v>7</v>
      </c>
      <c r="D173" s="9" t="s">
        <v>560</v>
      </c>
      <c r="E173" s="16" t="s">
        <v>425</v>
      </c>
      <c r="F173" s="17">
        <v>45763</v>
      </c>
      <c r="G173" s="17">
        <v>46022</v>
      </c>
      <c r="H173" s="18">
        <v>52530000</v>
      </c>
      <c r="I173" s="18">
        <v>6180000</v>
      </c>
      <c r="J173" s="58">
        <f>3090000+I173+I173+I173</f>
        <v>21630000</v>
      </c>
      <c r="K173" s="6">
        <f t="shared" si="10"/>
        <v>30900000</v>
      </c>
      <c r="L173" s="1">
        <f t="shared" si="9"/>
        <v>0.41176470588235292</v>
      </c>
      <c r="M173" s="14">
        <v>0</v>
      </c>
      <c r="N173" s="13"/>
      <c r="O173" s="9"/>
    </row>
    <row r="174" spans="1:15" ht="60">
      <c r="A174" s="15" t="s">
        <v>504</v>
      </c>
      <c r="B174" s="16">
        <v>6775116</v>
      </c>
      <c r="C174" s="16">
        <v>3</v>
      </c>
      <c r="D174" s="9" t="s">
        <v>561</v>
      </c>
      <c r="E174" s="16" t="s">
        <v>426</v>
      </c>
      <c r="F174" s="17">
        <v>45768</v>
      </c>
      <c r="G174" s="17">
        <v>46022</v>
      </c>
      <c r="H174" s="18">
        <v>68666667</v>
      </c>
      <c r="I174" s="18">
        <v>8240000</v>
      </c>
      <c r="J174" s="58">
        <f>2746667+I174+I174+I174</f>
        <v>27466667</v>
      </c>
      <c r="K174" s="6">
        <f t="shared" si="10"/>
        <v>41200000</v>
      </c>
      <c r="L174" s="1">
        <f t="shared" si="9"/>
        <v>0.40000000291262139</v>
      </c>
      <c r="M174" s="14">
        <v>0</v>
      </c>
      <c r="N174" s="13"/>
      <c r="O174" s="9"/>
    </row>
    <row r="175" spans="1:15" ht="60">
      <c r="A175" s="15" t="s">
        <v>505</v>
      </c>
      <c r="B175" s="16">
        <v>1087753489</v>
      </c>
      <c r="C175" s="16">
        <v>6</v>
      </c>
      <c r="D175" s="9" t="s">
        <v>562</v>
      </c>
      <c r="E175" s="16" t="s">
        <v>427</v>
      </c>
      <c r="F175" s="17">
        <v>45769</v>
      </c>
      <c r="G175" s="17">
        <v>46022</v>
      </c>
      <c r="H175" s="18">
        <v>27390000</v>
      </c>
      <c r="I175" s="18">
        <v>3300000</v>
      </c>
      <c r="J175" s="58">
        <f>990000+I175+I175+I175</f>
        <v>10890000</v>
      </c>
      <c r="K175" s="6">
        <f t="shared" si="10"/>
        <v>16500000</v>
      </c>
      <c r="L175" s="1">
        <f t="shared" si="9"/>
        <v>0.39759036144578308</v>
      </c>
      <c r="M175" s="14">
        <v>0</v>
      </c>
      <c r="N175" s="13"/>
      <c r="O175" s="9"/>
    </row>
    <row r="176" spans="1:15" ht="60">
      <c r="A176" s="15" t="s">
        <v>506</v>
      </c>
      <c r="B176" s="16">
        <v>79987795</v>
      </c>
      <c r="C176" s="16">
        <v>1</v>
      </c>
      <c r="D176" s="9" t="s">
        <v>563</v>
      </c>
      <c r="E176" s="16" t="s">
        <v>428</v>
      </c>
      <c r="F176" s="17">
        <v>45763</v>
      </c>
      <c r="G176" s="17">
        <v>45823</v>
      </c>
      <c r="H176" s="18">
        <v>15450000</v>
      </c>
      <c r="I176" s="18">
        <v>7725000</v>
      </c>
      <c r="J176" s="5">
        <f>3862500+I176</f>
        <v>11587500</v>
      </c>
      <c r="K176" s="6">
        <f t="shared" si="10"/>
        <v>3862500</v>
      </c>
      <c r="L176" s="1">
        <f t="shared" si="9"/>
        <v>0.75</v>
      </c>
      <c r="M176" s="14">
        <v>0</v>
      </c>
      <c r="N176" s="13"/>
      <c r="O176" s="9"/>
    </row>
    <row r="177" spans="1:15" ht="75">
      <c r="A177" s="15" t="s">
        <v>507</v>
      </c>
      <c r="B177" s="16">
        <v>1053807326</v>
      </c>
      <c r="C177" s="16">
        <v>4</v>
      </c>
      <c r="D177" s="9" t="s">
        <v>564</v>
      </c>
      <c r="E177" s="16" t="s">
        <v>429</v>
      </c>
      <c r="F177" s="17">
        <v>45763</v>
      </c>
      <c r="G177" s="17">
        <v>46022</v>
      </c>
      <c r="H177" s="18">
        <v>61285000</v>
      </c>
      <c r="I177" s="18">
        <v>7210000</v>
      </c>
      <c r="J177" s="5">
        <f>3605000+3364667</f>
        <v>6969667</v>
      </c>
      <c r="K177" s="6">
        <f t="shared" si="10"/>
        <v>54315333</v>
      </c>
      <c r="L177" s="1">
        <f t="shared" si="9"/>
        <v>0.11372549563514722</v>
      </c>
      <c r="M177" s="14">
        <v>0</v>
      </c>
      <c r="N177" s="13"/>
      <c r="O177" s="9"/>
    </row>
    <row r="178" spans="1:15" ht="90">
      <c r="A178" s="15" t="s">
        <v>508</v>
      </c>
      <c r="B178" s="16">
        <v>52265179</v>
      </c>
      <c r="C178" s="16">
        <v>6</v>
      </c>
      <c r="D178" s="9" t="s">
        <v>565</v>
      </c>
      <c r="E178" s="16" t="s">
        <v>430</v>
      </c>
      <c r="F178" s="17">
        <v>45763</v>
      </c>
      <c r="G178" s="17">
        <v>46022</v>
      </c>
      <c r="H178" s="18">
        <v>79670500</v>
      </c>
      <c r="I178" s="18">
        <v>9373000</v>
      </c>
      <c r="J178" s="58">
        <f>4686500+9373000+I178+I178</f>
        <v>32805500</v>
      </c>
      <c r="K178" s="6">
        <f t="shared" si="10"/>
        <v>46865000</v>
      </c>
      <c r="L178" s="1">
        <f t="shared" si="9"/>
        <v>0.41176470588235292</v>
      </c>
      <c r="M178" s="14">
        <v>0</v>
      </c>
      <c r="N178" s="13"/>
      <c r="O178" s="9"/>
    </row>
    <row r="179" spans="1:15" ht="105">
      <c r="A179" s="15" t="s">
        <v>509</v>
      </c>
      <c r="B179" s="16">
        <v>1026285734</v>
      </c>
      <c r="C179" s="16">
        <v>6</v>
      </c>
      <c r="D179" s="9" t="s">
        <v>566</v>
      </c>
      <c r="E179" s="16" t="s">
        <v>431</v>
      </c>
      <c r="F179" s="17">
        <v>45769</v>
      </c>
      <c r="G179" s="17">
        <v>46022</v>
      </c>
      <c r="H179" s="18">
        <v>60083333</v>
      </c>
      <c r="I179" s="18">
        <v>7210000</v>
      </c>
      <c r="J179" s="58">
        <f>2163000+I179+I179+I179</f>
        <v>23793000</v>
      </c>
      <c r="K179" s="6">
        <f t="shared" si="10"/>
        <v>36290333</v>
      </c>
      <c r="L179" s="1">
        <f t="shared" si="9"/>
        <v>0.39600000219694864</v>
      </c>
      <c r="M179" s="14">
        <v>0</v>
      </c>
      <c r="N179" s="13"/>
      <c r="O179" s="9"/>
    </row>
    <row r="180" spans="1:15" ht="90">
      <c r="A180" s="15" t="s">
        <v>510</v>
      </c>
      <c r="B180" s="16">
        <v>91527821</v>
      </c>
      <c r="C180" s="16">
        <v>4</v>
      </c>
      <c r="D180" s="9" t="s">
        <v>567</v>
      </c>
      <c r="E180" s="16" t="s">
        <v>432</v>
      </c>
      <c r="F180" s="17">
        <v>45769</v>
      </c>
      <c r="G180" s="17">
        <v>46022</v>
      </c>
      <c r="H180" s="18">
        <v>42916667</v>
      </c>
      <c r="I180" s="18">
        <v>5150000</v>
      </c>
      <c r="J180" s="58">
        <f>1545000+I180+I180+I180</f>
        <v>16995000</v>
      </c>
      <c r="K180" s="6">
        <f t="shared" si="10"/>
        <v>25921667</v>
      </c>
      <c r="L180" s="1">
        <f t="shared" si="9"/>
        <v>0.3959999969242719</v>
      </c>
      <c r="M180" s="14">
        <v>0</v>
      </c>
      <c r="N180" s="13"/>
      <c r="O180" s="9"/>
    </row>
    <row r="181" spans="1:15" ht="60">
      <c r="A181" s="15" t="s">
        <v>511</v>
      </c>
      <c r="B181" s="16">
        <v>1013688295</v>
      </c>
      <c r="C181" s="16">
        <v>7</v>
      </c>
      <c r="D181" s="9" t="s">
        <v>568</v>
      </c>
      <c r="E181" s="16" t="s">
        <v>433</v>
      </c>
      <c r="F181" s="17">
        <v>45763</v>
      </c>
      <c r="G181" s="17">
        <v>46022</v>
      </c>
      <c r="H181" s="18">
        <v>28050000</v>
      </c>
      <c r="I181" s="18">
        <v>3300000</v>
      </c>
      <c r="J181" s="58">
        <f>1650000+3300000+I181+I181</f>
        <v>11550000</v>
      </c>
      <c r="K181" s="6">
        <f t="shared" si="10"/>
        <v>16500000</v>
      </c>
      <c r="L181" s="1">
        <f t="shared" si="9"/>
        <v>0.41176470588235292</v>
      </c>
      <c r="M181" s="14">
        <v>0</v>
      </c>
      <c r="N181" s="13"/>
      <c r="O181" s="9"/>
    </row>
    <row r="182" spans="1:15" ht="135">
      <c r="A182" s="15" t="s">
        <v>6</v>
      </c>
      <c r="B182" s="16">
        <v>52219533</v>
      </c>
      <c r="C182" s="16">
        <v>5</v>
      </c>
      <c r="D182" s="9" t="s">
        <v>569</v>
      </c>
      <c r="E182" s="16" t="s">
        <v>434</v>
      </c>
      <c r="F182" s="17">
        <v>45768</v>
      </c>
      <c r="G182" s="17">
        <v>46022</v>
      </c>
      <c r="H182" s="18">
        <v>78108333</v>
      </c>
      <c r="I182" s="18">
        <v>9373000</v>
      </c>
      <c r="J182" s="58">
        <f>3124333+I182+I182+I182+I182</f>
        <v>40616333</v>
      </c>
      <c r="K182" s="6">
        <f t="shared" si="10"/>
        <v>37492000</v>
      </c>
      <c r="L182" s="1">
        <f t="shared" si="9"/>
        <v>0.51999999795156304</v>
      </c>
      <c r="M182" s="14">
        <v>0</v>
      </c>
      <c r="N182" s="13"/>
      <c r="O182" s="9"/>
    </row>
    <row r="183" spans="1:15" ht="60">
      <c r="A183" s="15" t="s">
        <v>512</v>
      </c>
      <c r="B183" s="16">
        <v>1014289693</v>
      </c>
      <c r="C183" s="16">
        <v>7</v>
      </c>
      <c r="D183" s="9" t="s">
        <v>570</v>
      </c>
      <c r="E183" s="16" t="s">
        <v>435</v>
      </c>
      <c r="F183" s="17">
        <v>45769</v>
      </c>
      <c r="G183" s="17">
        <v>45859</v>
      </c>
      <c r="H183" s="18">
        <v>18540000</v>
      </c>
      <c r="I183" s="18">
        <v>6180000</v>
      </c>
      <c r="J183" s="5">
        <f>1854000+I183+I183</f>
        <v>14214000</v>
      </c>
      <c r="K183" s="6">
        <f t="shared" si="10"/>
        <v>4326000</v>
      </c>
      <c r="L183" s="1">
        <f t="shared" si="9"/>
        <v>0.76666666666666661</v>
      </c>
      <c r="M183" s="14">
        <v>0</v>
      </c>
      <c r="N183" s="13"/>
      <c r="O183" s="9"/>
    </row>
    <row r="184" spans="1:15" ht="75">
      <c r="A184" s="15" t="s">
        <v>513</v>
      </c>
      <c r="B184" s="16">
        <v>80350391</v>
      </c>
      <c r="C184" s="16">
        <v>7</v>
      </c>
      <c r="D184" s="9" t="s">
        <v>571</v>
      </c>
      <c r="E184" s="16" t="s">
        <v>436</v>
      </c>
      <c r="F184" s="17">
        <v>45769</v>
      </c>
      <c r="G184" s="17">
        <v>46022</v>
      </c>
      <c r="H184" s="18">
        <v>38625000</v>
      </c>
      <c r="I184" s="18">
        <v>4635000</v>
      </c>
      <c r="J184" s="58">
        <f>1390500+I184+I184+I184</f>
        <v>15295500</v>
      </c>
      <c r="K184" s="6">
        <f t="shared" si="10"/>
        <v>23329500</v>
      </c>
      <c r="L184" s="1">
        <f t="shared" si="9"/>
        <v>0.39600000000000002</v>
      </c>
      <c r="M184" s="14">
        <v>0</v>
      </c>
      <c r="N184" s="13"/>
      <c r="O184" s="9"/>
    </row>
    <row r="185" spans="1:15" ht="75">
      <c r="A185" s="15" t="s">
        <v>514</v>
      </c>
      <c r="B185" s="16">
        <v>1000718758</v>
      </c>
      <c r="C185" s="16">
        <v>8</v>
      </c>
      <c r="D185" s="9" t="s">
        <v>572</v>
      </c>
      <c r="E185" s="16" t="s">
        <v>437</v>
      </c>
      <c r="F185" s="17">
        <v>45770</v>
      </c>
      <c r="G185" s="17">
        <v>46022</v>
      </c>
      <c r="H185" s="18">
        <v>27280000</v>
      </c>
      <c r="I185" s="18">
        <v>3300000</v>
      </c>
      <c r="J185" s="58">
        <f>880000+I185+I185+I185</f>
        <v>10780000</v>
      </c>
      <c r="K185" s="6">
        <f t="shared" si="10"/>
        <v>16500000</v>
      </c>
      <c r="L185" s="1">
        <f t="shared" si="9"/>
        <v>0.39516129032258063</v>
      </c>
      <c r="M185" s="14">
        <v>0</v>
      </c>
      <c r="N185" s="13"/>
      <c r="O185" s="9"/>
    </row>
    <row r="186" spans="1:15" ht="90">
      <c r="A186" s="15" t="s">
        <v>515</v>
      </c>
      <c r="B186" s="16">
        <v>11321559</v>
      </c>
      <c r="C186" s="16">
        <v>2</v>
      </c>
      <c r="D186" s="9" t="s">
        <v>573</v>
      </c>
      <c r="E186" s="16" t="s">
        <v>438</v>
      </c>
      <c r="F186" s="17">
        <v>45771</v>
      </c>
      <c r="G186" s="17">
        <v>46022</v>
      </c>
      <c r="H186" s="18">
        <v>72374666</v>
      </c>
      <c r="I186" s="18">
        <v>8755000</v>
      </c>
      <c r="J186" s="58">
        <f>2334666+I186+I186+I186</f>
        <v>28599666</v>
      </c>
      <c r="K186" s="6">
        <f t="shared" si="10"/>
        <v>43775000</v>
      </c>
      <c r="L186" s="1">
        <f t="shared" si="9"/>
        <v>0.39516128475121393</v>
      </c>
      <c r="M186" s="14">
        <v>0</v>
      </c>
      <c r="N186" s="13"/>
      <c r="O186" s="9"/>
    </row>
    <row r="187" spans="1:15" ht="60">
      <c r="A187" s="15" t="s">
        <v>516</v>
      </c>
      <c r="B187" s="16">
        <v>1140825126</v>
      </c>
      <c r="C187" s="16">
        <v>1</v>
      </c>
      <c r="D187" s="9" t="s">
        <v>574</v>
      </c>
      <c r="E187" s="16" t="s">
        <v>439</v>
      </c>
      <c r="F187" s="17">
        <v>45771</v>
      </c>
      <c r="G187" s="17">
        <v>46022</v>
      </c>
      <c r="H187" s="18">
        <v>51294000</v>
      </c>
      <c r="I187" s="18">
        <v>6180000</v>
      </c>
      <c r="J187" s="58">
        <f>1442000+I187+I187+I187</f>
        <v>19982000</v>
      </c>
      <c r="K187" s="6">
        <f t="shared" si="10"/>
        <v>31312000</v>
      </c>
      <c r="L187" s="1">
        <f t="shared" si="9"/>
        <v>0.38955823293172687</v>
      </c>
      <c r="M187" s="14">
        <v>0</v>
      </c>
      <c r="N187" s="13"/>
      <c r="O187" s="9"/>
    </row>
    <row r="188" spans="1:15" ht="60">
      <c r="A188" s="15" t="s">
        <v>517</v>
      </c>
      <c r="B188" s="16">
        <v>1085321752</v>
      </c>
      <c r="C188" s="16">
        <v>8</v>
      </c>
      <c r="D188" s="9" t="s">
        <v>575</v>
      </c>
      <c r="E188" s="16" t="s">
        <v>440</v>
      </c>
      <c r="F188" s="17">
        <v>45772</v>
      </c>
      <c r="G188" s="17">
        <v>46022</v>
      </c>
      <c r="H188" s="18">
        <v>55122167</v>
      </c>
      <c r="I188" s="18">
        <v>6695000</v>
      </c>
      <c r="J188" s="58">
        <f>I188+I188+1339000+I188</f>
        <v>21424000</v>
      </c>
      <c r="K188" s="6">
        <f t="shared" si="10"/>
        <v>33698167</v>
      </c>
      <c r="L188" s="1">
        <f t="shared" si="9"/>
        <v>0.38866396526101743</v>
      </c>
      <c r="M188" s="14">
        <v>0</v>
      </c>
      <c r="N188" s="13"/>
      <c r="O188" s="9"/>
    </row>
    <row r="189" spans="1:15" ht="60">
      <c r="A189" s="15" t="s">
        <v>518</v>
      </c>
      <c r="B189" s="16">
        <v>94397996</v>
      </c>
      <c r="C189" s="16" t="s">
        <v>526</v>
      </c>
      <c r="D189" s="9" t="s">
        <v>576</v>
      </c>
      <c r="E189" s="16" t="s">
        <v>441</v>
      </c>
      <c r="F189" s="17"/>
      <c r="G189" s="17">
        <v>45893</v>
      </c>
      <c r="H189" s="18">
        <v>45320000</v>
      </c>
      <c r="I189" s="18">
        <v>11330000</v>
      </c>
      <c r="J189" s="58">
        <f>2266000+I189+I189+I189</f>
        <v>36256000</v>
      </c>
      <c r="K189" s="6">
        <f t="shared" si="10"/>
        <v>9064000</v>
      </c>
      <c r="L189" s="1">
        <f t="shared" si="9"/>
        <v>0.8</v>
      </c>
      <c r="M189" s="14">
        <v>0</v>
      </c>
      <c r="N189" s="13"/>
      <c r="O189" s="9"/>
    </row>
    <row r="190" spans="1:15" ht="75">
      <c r="A190" s="15" t="s">
        <v>519</v>
      </c>
      <c r="B190" s="16">
        <v>1013597999</v>
      </c>
      <c r="C190" s="16">
        <v>2</v>
      </c>
      <c r="D190" s="9" t="s">
        <v>577</v>
      </c>
      <c r="E190" s="16" t="s">
        <v>442</v>
      </c>
      <c r="F190" s="17"/>
      <c r="G190" s="17">
        <v>46014</v>
      </c>
      <c r="H190" s="18">
        <v>32136000</v>
      </c>
      <c r="I190" s="18">
        <v>4017000</v>
      </c>
      <c r="J190" s="58">
        <f>937300+I190+I190</f>
        <v>8971300</v>
      </c>
      <c r="K190" s="6">
        <f t="shared" si="10"/>
        <v>23164700</v>
      </c>
      <c r="L190" s="1">
        <f t="shared" si="9"/>
        <v>0.27916666666666667</v>
      </c>
      <c r="M190" s="14">
        <v>0</v>
      </c>
      <c r="N190" s="13"/>
      <c r="O190" s="9"/>
    </row>
    <row r="191" spans="1:15" ht="60">
      <c r="A191" s="15" t="s">
        <v>520</v>
      </c>
      <c r="B191" s="16">
        <v>1001315186</v>
      </c>
      <c r="C191" s="16">
        <v>3</v>
      </c>
      <c r="D191" s="9" t="s">
        <v>578</v>
      </c>
      <c r="E191" s="16" t="s">
        <v>443</v>
      </c>
      <c r="F191" s="17">
        <v>45772</v>
      </c>
      <c r="G191" s="17">
        <v>46022</v>
      </c>
      <c r="H191" s="18">
        <v>38161500</v>
      </c>
      <c r="I191" s="18">
        <v>4635000</v>
      </c>
      <c r="J191" s="58">
        <f>927000+I191+I191+I191</f>
        <v>14832000</v>
      </c>
      <c r="K191" s="6">
        <f t="shared" ref="K191:K254" si="11">H191-J191</f>
        <v>23329500</v>
      </c>
      <c r="L191" s="1">
        <f t="shared" si="9"/>
        <v>0.38866396761133604</v>
      </c>
      <c r="M191" s="14">
        <v>0</v>
      </c>
      <c r="N191" s="13"/>
      <c r="O191" s="9"/>
    </row>
    <row r="192" spans="1:15" ht="120">
      <c r="A192" s="15" t="s">
        <v>521</v>
      </c>
      <c r="B192" s="16">
        <v>79688495</v>
      </c>
      <c r="C192" s="16">
        <v>2</v>
      </c>
      <c r="D192" s="9" t="s">
        <v>579</v>
      </c>
      <c r="E192" s="16" t="s">
        <v>444</v>
      </c>
      <c r="F192" s="17">
        <v>45775</v>
      </c>
      <c r="G192" s="17">
        <v>46022</v>
      </c>
      <c r="H192" s="18">
        <v>76858600</v>
      </c>
      <c r="I192" s="18">
        <v>9373000</v>
      </c>
      <c r="J192" s="58">
        <f>937300+I192+I192+I192</f>
        <v>29056300</v>
      </c>
      <c r="K192" s="6">
        <f t="shared" si="11"/>
        <v>47802300</v>
      </c>
      <c r="L192" s="1">
        <f t="shared" si="9"/>
        <v>0.37804878048780488</v>
      </c>
      <c r="M192" s="14">
        <v>0</v>
      </c>
      <c r="N192" s="13"/>
      <c r="O192" s="9"/>
    </row>
    <row r="193" spans="1:15" ht="105">
      <c r="A193" s="15" t="s">
        <v>522</v>
      </c>
      <c r="B193" s="16">
        <v>1140864226</v>
      </c>
      <c r="C193" s="16">
        <v>4</v>
      </c>
      <c r="D193" s="9" t="s">
        <v>580</v>
      </c>
      <c r="E193" s="16" t="s">
        <v>445</v>
      </c>
      <c r="F193" s="17">
        <v>45772</v>
      </c>
      <c r="G193" s="17">
        <v>46015</v>
      </c>
      <c r="H193" s="18">
        <v>65920000</v>
      </c>
      <c r="I193" s="18">
        <v>8240000</v>
      </c>
      <c r="J193" s="5">
        <f>1648000+I193</f>
        <v>9888000</v>
      </c>
      <c r="K193" s="6">
        <f t="shared" si="11"/>
        <v>56032000</v>
      </c>
      <c r="L193" s="1">
        <f t="shared" si="9"/>
        <v>0.15000000000000002</v>
      </c>
      <c r="M193" s="14">
        <v>0</v>
      </c>
      <c r="N193" s="13"/>
      <c r="O193" s="9"/>
    </row>
    <row r="194" spans="1:15" ht="60">
      <c r="A194" s="15" t="s">
        <v>127</v>
      </c>
      <c r="B194" s="16">
        <v>1018511897</v>
      </c>
      <c r="C194" s="16">
        <v>9</v>
      </c>
      <c r="D194" s="9" t="s">
        <v>581</v>
      </c>
      <c r="E194" s="16" t="s">
        <v>446</v>
      </c>
      <c r="F194" s="17">
        <v>45775</v>
      </c>
      <c r="G194" s="17">
        <v>46022</v>
      </c>
      <c r="H194" s="18">
        <v>27060000</v>
      </c>
      <c r="I194" s="18">
        <v>3300000</v>
      </c>
      <c r="J194" s="58">
        <f>330000+3300000+I194+I194</f>
        <v>10230000</v>
      </c>
      <c r="K194" s="6">
        <f t="shared" si="11"/>
        <v>16830000</v>
      </c>
      <c r="L194" s="1">
        <f t="shared" ref="L194:L257" si="12">1-(K194/H194)</f>
        <v>0.37804878048780488</v>
      </c>
      <c r="M194" s="14">
        <v>0</v>
      </c>
      <c r="N194" s="13"/>
      <c r="O194" s="9"/>
    </row>
    <row r="195" spans="1:15" ht="75">
      <c r="A195" s="15" t="s">
        <v>523</v>
      </c>
      <c r="B195" s="16">
        <v>36308561</v>
      </c>
      <c r="C195" s="16">
        <v>5</v>
      </c>
      <c r="D195" s="9" t="s">
        <v>582</v>
      </c>
      <c r="E195" s="16" t="s">
        <v>447</v>
      </c>
      <c r="F195" s="17">
        <v>45772</v>
      </c>
      <c r="G195" s="17">
        <v>46022</v>
      </c>
      <c r="H195" s="18">
        <v>46453000</v>
      </c>
      <c r="I195" s="18">
        <v>5665000</v>
      </c>
      <c r="J195" s="5">
        <f>1133000+I195+I195</f>
        <v>12463000</v>
      </c>
      <c r="K195" s="6">
        <f t="shared" si="11"/>
        <v>33990000</v>
      </c>
      <c r="L195" s="1">
        <f t="shared" si="12"/>
        <v>0.26829268292682928</v>
      </c>
      <c r="M195" s="14">
        <v>0</v>
      </c>
      <c r="N195" s="13"/>
      <c r="O195" s="9"/>
    </row>
    <row r="196" spans="1:15" ht="60">
      <c r="A196" s="15" t="s">
        <v>524</v>
      </c>
      <c r="B196" s="16">
        <v>1066176032</v>
      </c>
      <c r="C196" s="16">
        <v>2</v>
      </c>
      <c r="D196" s="9" t="s">
        <v>583</v>
      </c>
      <c r="E196" s="16" t="s">
        <v>448</v>
      </c>
      <c r="F196" s="17">
        <v>45775</v>
      </c>
      <c r="G196" s="17">
        <v>46022</v>
      </c>
      <c r="H196" s="18">
        <v>71791000</v>
      </c>
      <c r="I196" s="18">
        <v>8755000</v>
      </c>
      <c r="J196" s="58">
        <f>875000+I196+I196+I196</f>
        <v>27140000</v>
      </c>
      <c r="K196" s="6">
        <f t="shared" si="11"/>
        <v>44651000</v>
      </c>
      <c r="L196" s="1">
        <f t="shared" si="12"/>
        <v>0.37804181582649632</v>
      </c>
      <c r="M196" s="14">
        <v>0</v>
      </c>
      <c r="N196" s="13"/>
      <c r="O196" s="9"/>
    </row>
    <row r="197" spans="1:15" ht="105">
      <c r="A197" s="15" t="s">
        <v>525</v>
      </c>
      <c r="B197" s="16">
        <v>1037590760</v>
      </c>
      <c r="C197" s="16">
        <v>5</v>
      </c>
      <c r="D197" s="9" t="s">
        <v>584</v>
      </c>
      <c r="E197" s="16" t="s">
        <v>449</v>
      </c>
      <c r="F197" s="17">
        <v>45776</v>
      </c>
      <c r="G197" s="17">
        <v>46022</v>
      </c>
      <c r="H197" s="18">
        <v>54229500</v>
      </c>
      <c r="I197" s="18">
        <v>6695000</v>
      </c>
      <c r="J197" s="58">
        <f>446333+I197+I197+I197</f>
        <v>20531333</v>
      </c>
      <c r="K197" s="6">
        <f t="shared" si="11"/>
        <v>33698167</v>
      </c>
      <c r="L197" s="1">
        <f t="shared" si="12"/>
        <v>0.37860081689855152</v>
      </c>
      <c r="M197" s="14">
        <v>0</v>
      </c>
      <c r="N197" s="13"/>
      <c r="O197" s="9"/>
    </row>
    <row r="198" spans="1:15" ht="120">
      <c r="A198" s="41" t="s">
        <v>665</v>
      </c>
      <c r="B198" s="42">
        <v>1066747791</v>
      </c>
      <c r="C198" s="42">
        <v>5</v>
      </c>
      <c r="D198" s="34" t="s">
        <v>591</v>
      </c>
      <c r="E198" s="42">
        <v>190</v>
      </c>
      <c r="F198" s="28">
        <v>45779</v>
      </c>
      <c r="G198" s="43">
        <v>46022</v>
      </c>
      <c r="H198" s="13">
        <v>50058000</v>
      </c>
      <c r="I198" s="13">
        <v>6180000</v>
      </c>
      <c r="J198" s="5">
        <f>5974000+I198+I198</f>
        <v>18334000</v>
      </c>
      <c r="K198" s="6">
        <f t="shared" si="11"/>
        <v>31724000</v>
      </c>
      <c r="L198" s="1">
        <f t="shared" si="12"/>
        <v>0.36625514403292181</v>
      </c>
      <c r="M198" s="14">
        <v>0</v>
      </c>
      <c r="N198" s="13"/>
      <c r="O198" s="9"/>
    </row>
    <row r="199" spans="1:15" ht="60">
      <c r="A199" s="15" t="s">
        <v>666</v>
      </c>
      <c r="B199" s="16">
        <v>1123733068</v>
      </c>
      <c r="C199" s="16">
        <v>3</v>
      </c>
      <c r="D199" s="9" t="s">
        <v>592</v>
      </c>
      <c r="E199" s="16">
        <v>191</v>
      </c>
      <c r="F199" s="17">
        <v>45782</v>
      </c>
      <c r="G199" s="20">
        <v>46022</v>
      </c>
      <c r="H199" s="21">
        <v>49440000</v>
      </c>
      <c r="I199" s="21">
        <v>6180000</v>
      </c>
      <c r="J199" s="5">
        <f>5356000+I199+I199</f>
        <v>17716000</v>
      </c>
      <c r="K199" s="6">
        <f t="shared" si="11"/>
        <v>31724000</v>
      </c>
      <c r="L199" s="1">
        <f t="shared" si="12"/>
        <v>0.35833333333333328</v>
      </c>
      <c r="M199" s="14">
        <v>0</v>
      </c>
      <c r="N199" s="13"/>
      <c r="O199" s="9"/>
    </row>
    <row r="200" spans="1:15" ht="75">
      <c r="A200" s="41" t="s">
        <v>667</v>
      </c>
      <c r="B200" s="42">
        <v>800211401</v>
      </c>
      <c r="C200" s="42">
        <v>8</v>
      </c>
      <c r="D200" s="34" t="s">
        <v>593</v>
      </c>
      <c r="E200" s="42">
        <v>192</v>
      </c>
      <c r="F200" s="28">
        <v>45779</v>
      </c>
      <c r="G200" s="43">
        <v>46006</v>
      </c>
      <c r="H200" s="13">
        <v>896397456.92999995</v>
      </c>
      <c r="I200" s="13">
        <v>896397456.92999995</v>
      </c>
      <c r="J200" s="5">
        <f>62008846+115474164.47</f>
        <v>177483010.47</v>
      </c>
      <c r="K200" s="6">
        <f>H200-J200</f>
        <v>718914446.45999992</v>
      </c>
      <c r="L200" s="1">
        <f t="shared" si="12"/>
        <v>0.19799588798237722</v>
      </c>
      <c r="M200" s="14">
        <v>0</v>
      </c>
      <c r="N200" s="13"/>
      <c r="O200" s="9"/>
    </row>
    <row r="201" spans="1:15" ht="60">
      <c r="A201" s="15" t="s">
        <v>668</v>
      </c>
      <c r="B201" s="16">
        <v>1106901259</v>
      </c>
      <c r="C201" s="16">
        <v>2</v>
      </c>
      <c r="D201" s="9" t="s">
        <v>594</v>
      </c>
      <c r="E201" s="16">
        <v>193</v>
      </c>
      <c r="F201" s="17">
        <v>45779</v>
      </c>
      <c r="G201" s="20">
        <v>45931</v>
      </c>
      <c r="H201" s="21">
        <v>16500000</v>
      </c>
      <c r="I201" s="21">
        <v>3300000</v>
      </c>
      <c r="J201" s="5">
        <f>3190000+I201+I201</f>
        <v>9790000</v>
      </c>
      <c r="K201" s="6">
        <f t="shared" si="11"/>
        <v>6710000</v>
      </c>
      <c r="L201" s="1">
        <f t="shared" si="12"/>
        <v>0.59333333333333327</v>
      </c>
      <c r="M201" s="14">
        <v>0</v>
      </c>
      <c r="N201" s="13"/>
      <c r="O201" s="9"/>
    </row>
    <row r="202" spans="1:15" ht="60">
      <c r="A202" s="15" t="s">
        <v>669</v>
      </c>
      <c r="B202" s="16">
        <v>52334767</v>
      </c>
      <c r="C202" s="16">
        <v>3</v>
      </c>
      <c r="D202" s="9" t="s">
        <v>595</v>
      </c>
      <c r="E202" s="16">
        <v>194</v>
      </c>
      <c r="F202" s="17">
        <v>45779</v>
      </c>
      <c r="G202" s="20">
        <v>46022</v>
      </c>
      <c r="H202" s="21">
        <v>65645333</v>
      </c>
      <c r="I202" s="21">
        <v>8240000</v>
      </c>
      <c r="J202" s="5">
        <f>7965333+I202+I202</f>
        <v>24445333</v>
      </c>
      <c r="K202" s="6">
        <f t="shared" si="11"/>
        <v>41200000</v>
      </c>
      <c r="L202" s="1">
        <f t="shared" si="12"/>
        <v>0.37238493405159512</v>
      </c>
      <c r="M202" s="14">
        <v>0</v>
      </c>
      <c r="N202" s="13"/>
      <c r="O202" s="9"/>
    </row>
    <row r="203" spans="1:15" ht="90">
      <c r="A203" s="15" t="s">
        <v>670</v>
      </c>
      <c r="B203" s="16">
        <v>1099213505</v>
      </c>
      <c r="C203" s="16">
        <v>3</v>
      </c>
      <c r="D203" s="9" t="s">
        <v>596</v>
      </c>
      <c r="E203" s="16">
        <v>195</v>
      </c>
      <c r="F203" s="17">
        <v>45779</v>
      </c>
      <c r="G203" s="20">
        <v>46022</v>
      </c>
      <c r="H203" s="21">
        <v>26290000</v>
      </c>
      <c r="I203" s="21">
        <v>3300000</v>
      </c>
      <c r="J203" s="5">
        <f>3190000+I203+I203</f>
        <v>9790000</v>
      </c>
      <c r="K203" s="6">
        <f t="shared" si="11"/>
        <v>16500000</v>
      </c>
      <c r="L203" s="1">
        <f t="shared" si="12"/>
        <v>0.37238493723849375</v>
      </c>
      <c r="M203" s="14">
        <v>0</v>
      </c>
      <c r="N203" s="13"/>
      <c r="O203" s="9"/>
    </row>
    <row r="204" spans="1:15" ht="120">
      <c r="A204" s="15" t="s">
        <v>671</v>
      </c>
      <c r="B204" s="16">
        <v>79883532</v>
      </c>
      <c r="C204" s="16">
        <v>2</v>
      </c>
      <c r="D204" s="9" t="s">
        <v>597</v>
      </c>
      <c r="E204" s="16">
        <v>196</v>
      </c>
      <c r="F204" s="17">
        <v>45779</v>
      </c>
      <c r="G204" s="20">
        <v>46022</v>
      </c>
      <c r="H204" s="21">
        <v>65645333</v>
      </c>
      <c r="I204" s="21">
        <v>8240000</v>
      </c>
      <c r="J204" s="5">
        <f>7965333+8240000+I204</f>
        <v>24445333</v>
      </c>
      <c r="K204" s="6">
        <f t="shared" si="11"/>
        <v>41200000</v>
      </c>
      <c r="L204" s="1">
        <f t="shared" si="12"/>
        <v>0.37238493405159512</v>
      </c>
      <c r="M204" s="14">
        <v>0</v>
      </c>
      <c r="N204" s="13"/>
      <c r="O204" s="9"/>
    </row>
    <row r="205" spans="1:15" ht="45">
      <c r="A205" s="15" t="s">
        <v>672</v>
      </c>
      <c r="B205" s="16">
        <v>52069018</v>
      </c>
      <c r="C205" s="16">
        <v>9</v>
      </c>
      <c r="D205" s="9" t="s">
        <v>598</v>
      </c>
      <c r="E205" s="16">
        <v>197</v>
      </c>
      <c r="F205" s="17">
        <v>45779</v>
      </c>
      <c r="G205" s="20">
        <v>46022</v>
      </c>
      <c r="H205" s="21">
        <v>65645333</v>
      </c>
      <c r="I205" s="21">
        <v>8240000</v>
      </c>
      <c r="J205" s="5">
        <f>7965333+I205+I205</f>
        <v>24445333</v>
      </c>
      <c r="K205" s="6">
        <f t="shared" si="11"/>
        <v>41200000</v>
      </c>
      <c r="L205" s="1">
        <f t="shared" si="12"/>
        <v>0.37238493405159512</v>
      </c>
      <c r="M205" s="14">
        <v>0</v>
      </c>
      <c r="N205" s="13"/>
      <c r="O205" s="9"/>
    </row>
    <row r="206" spans="1:15" ht="75">
      <c r="A206" s="41" t="s">
        <v>673</v>
      </c>
      <c r="B206" s="42">
        <v>1118555258</v>
      </c>
      <c r="C206" s="42">
        <v>4</v>
      </c>
      <c r="D206" s="34" t="s">
        <v>599</v>
      </c>
      <c r="E206" s="42">
        <v>198</v>
      </c>
      <c r="F206" s="28">
        <v>45693</v>
      </c>
      <c r="G206" s="43">
        <v>46022</v>
      </c>
      <c r="H206" s="13">
        <v>56718667</v>
      </c>
      <c r="I206" s="13">
        <v>7210000</v>
      </c>
      <c r="J206" s="5">
        <f>6248667+I206+I206</f>
        <v>20668667</v>
      </c>
      <c r="K206" s="6">
        <f t="shared" si="11"/>
        <v>36050000</v>
      </c>
      <c r="L206" s="1">
        <f t="shared" si="12"/>
        <v>0.36440678339637289</v>
      </c>
      <c r="M206" s="14">
        <v>0</v>
      </c>
      <c r="N206" s="13"/>
      <c r="O206" s="9"/>
    </row>
    <row r="207" spans="1:15" ht="60">
      <c r="A207" s="41" t="s">
        <v>674</v>
      </c>
      <c r="B207" s="42">
        <v>35198703</v>
      </c>
      <c r="C207" s="42">
        <v>7</v>
      </c>
      <c r="D207" s="34" t="s">
        <v>600</v>
      </c>
      <c r="E207" s="42">
        <v>199</v>
      </c>
      <c r="F207" s="28">
        <v>45784</v>
      </c>
      <c r="G207" s="43">
        <v>46022</v>
      </c>
      <c r="H207" s="13">
        <v>36925500</v>
      </c>
      <c r="I207" s="13">
        <v>4635000</v>
      </c>
      <c r="J207" s="5">
        <f>3708000+4635000+4635000</f>
        <v>12978000</v>
      </c>
      <c r="K207" s="6">
        <f t="shared" si="11"/>
        <v>23947500</v>
      </c>
      <c r="L207" s="1">
        <f t="shared" si="12"/>
        <v>0.35146443514644354</v>
      </c>
      <c r="M207" s="14">
        <v>0</v>
      </c>
      <c r="N207" s="13"/>
      <c r="O207" s="9"/>
    </row>
    <row r="208" spans="1:15" ht="90">
      <c r="A208" s="41" t="s">
        <v>675</v>
      </c>
      <c r="B208" s="42">
        <v>1098720866</v>
      </c>
      <c r="C208" s="42">
        <v>8</v>
      </c>
      <c r="D208" s="34" t="s">
        <v>601</v>
      </c>
      <c r="E208" s="42">
        <v>200</v>
      </c>
      <c r="F208" s="28">
        <v>45779</v>
      </c>
      <c r="G208" s="43">
        <v>46022</v>
      </c>
      <c r="H208" s="13">
        <v>26290000</v>
      </c>
      <c r="I208" s="13">
        <v>3300000</v>
      </c>
      <c r="J208" s="5">
        <f>3190000+I208</f>
        <v>6490000</v>
      </c>
      <c r="K208" s="6">
        <f t="shared" si="11"/>
        <v>19800000</v>
      </c>
      <c r="L208" s="1">
        <f t="shared" si="12"/>
        <v>0.2468619246861925</v>
      </c>
      <c r="M208" s="14">
        <v>0</v>
      </c>
      <c r="N208" s="13"/>
      <c r="O208" s="9"/>
    </row>
    <row r="209" spans="1:15" ht="105">
      <c r="A209" s="41" t="s">
        <v>114</v>
      </c>
      <c r="B209" s="42">
        <v>52538558</v>
      </c>
      <c r="C209" s="42">
        <v>7</v>
      </c>
      <c r="D209" s="34" t="s">
        <v>602</v>
      </c>
      <c r="E209" s="42">
        <v>201</v>
      </c>
      <c r="F209" s="28">
        <v>45779</v>
      </c>
      <c r="G209" s="43">
        <v>46022</v>
      </c>
      <c r="H209" s="13">
        <v>74671566</v>
      </c>
      <c r="I209" s="13">
        <v>9373000</v>
      </c>
      <c r="J209" s="5">
        <f>9060566+I209+I209</f>
        <v>27806566</v>
      </c>
      <c r="K209" s="6">
        <f t="shared" si="11"/>
        <v>46865000</v>
      </c>
      <c r="L209" s="1">
        <f t="shared" si="12"/>
        <v>0.37238493163515551</v>
      </c>
      <c r="M209" s="14">
        <v>0</v>
      </c>
      <c r="N209" s="13"/>
      <c r="O209" s="9"/>
    </row>
    <row r="210" spans="1:15" ht="75">
      <c r="A210" s="41" t="s">
        <v>676</v>
      </c>
      <c r="B210" s="42">
        <v>52547844</v>
      </c>
      <c r="C210" s="42">
        <v>7</v>
      </c>
      <c r="D210" s="34" t="s">
        <v>603</v>
      </c>
      <c r="E210" s="42">
        <v>202</v>
      </c>
      <c r="F210" s="28">
        <v>45782</v>
      </c>
      <c r="G210" s="43">
        <v>46022</v>
      </c>
      <c r="H210" s="13">
        <v>48616000</v>
      </c>
      <c r="I210" s="13">
        <v>6180000</v>
      </c>
      <c r="J210" s="5">
        <f>5356000+I210+I210</f>
        <v>17716000</v>
      </c>
      <c r="K210" s="6">
        <f t="shared" si="11"/>
        <v>30900000</v>
      </c>
      <c r="L210" s="1">
        <f t="shared" si="12"/>
        <v>0.36440677966101698</v>
      </c>
      <c r="M210" s="14">
        <v>0</v>
      </c>
      <c r="N210" s="13"/>
      <c r="O210" s="9"/>
    </row>
    <row r="211" spans="1:15" ht="150">
      <c r="A211" s="41" t="s">
        <v>677</v>
      </c>
      <c r="B211" s="42">
        <v>830051851</v>
      </c>
      <c r="C211" s="42">
        <v>0</v>
      </c>
      <c r="D211" s="34" t="s">
        <v>604</v>
      </c>
      <c r="E211" s="42">
        <v>203</v>
      </c>
      <c r="F211" s="28">
        <v>45785</v>
      </c>
      <c r="G211" s="43">
        <v>45968</v>
      </c>
      <c r="H211" s="13">
        <v>80896200</v>
      </c>
      <c r="I211" s="13" t="s">
        <v>729</v>
      </c>
      <c r="J211" s="5">
        <f>10336736+13482700+13482700</f>
        <v>37302136</v>
      </c>
      <c r="K211" s="6">
        <f t="shared" si="11"/>
        <v>43594064</v>
      </c>
      <c r="L211" s="1">
        <f t="shared" si="12"/>
        <v>0.46111110287009771</v>
      </c>
      <c r="M211" s="14">
        <v>0</v>
      </c>
      <c r="N211" s="13"/>
      <c r="O211" s="9"/>
    </row>
    <row r="212" spans="1:15" ht="105">
      <c r="A212" s="41" t="s">
        <v>678</v>
      </c>
      <c r="B212" s="42">
        <v>1116547310</v>
      </c>
      <c r="C212" s="42">
        <v>9</v>
      </c>
      <c r="D212" s="34" t="s">
        <v>605</v>
      </c>
      <c r="E212" s="42">
        <v>204</v>
      </c>
      <c r="F212" s="28">
        <v>45785</v>
      </c>
      <c r="G212" s="43">
        <v>45967</v>
      </c>
      <c r="H212" s="13">
        <v>33990000</v>
      </c>
      <c r="I212" s="13">
        <v>5665000</v>
      </c>
      <c r="J212" s="5">
        <f>4343166+I212+I212</f>
        <v>15673166</v>
      </c>
      <c r="K212" s="6">
        <f t="shared" si="11"/>
        <v>18316834</v>
      </c>
      <c r="L212" s="1">
        <f t="shared" si="12"/>
        <v>0.46111109149749929</v>
      </c>
      <c r="M212" s="14">
        <v>0</v>
      </c>
      <c r="N212" s="13"/>
      <c r="O212" s="9"/>
    </row>
    <row r="213" spans="1:15" ht="105">
      <c r="A213" s="41" t="s">
        <v>679</v>
      </c>
      <c r="B213" s="42">
        <v>1016063470</v>
      </c>
      <c r="C213" s="42">
        <v>8</v>
      </c>
      <c r="D213" s="34" t="s">
        <v>606</v>
      </c>
      <c r="E213" s="42">
        <v>205</v>
      </c>
      <c r="F213" s="28">
        <v>45785</v>
      </c>
      <c r="G213" s="43">
        <v>45968</v>
      </c>
      <c r="H213" s="13">
        <v>33990000</v>
      </c>
      <c r="I213" s="13">
        <v>5665000</v>
      </c>
      <c r="J213" s="5">
        <f>4343167+I213+I213</f>
        <v>15673167</v>
      </c>
      <c r="K213" s="6">
        <f t="shared" si="11"/>
        <v>18316833</v>
      </c>
      <c r="L213" s="1">
        <f t="shared" si="12"/>
        <v>0.46111112091791706</v>
      </c>
      <c r="M213" s="14">
        <v>0</v>
      </c>
      <c r="N213" s="13"/>
      <c r="O213" s="9"/>
    </row>
    <row r="214" spans="1:15" ht="105">
      <c r="A214" s="41" t="s">
        <v>680</v>
      </c>
      <c r="B214" s="42">
        <v>1033763829</v>
      </c>
      <c r="C214" s="42">
        <v>3</v>
      </c>
      <c r="D214" s="34" t="s">
        <v>607</v>
      </c>
      <c r="E214" s="42">
        <v>206</v>
      </c>
      <c r="F214" s="28">
        <v>45785</v>
      </c>
      <c r="G214" s="43">
        <v>45968</v>
      </c>
      <c r="H214" s="13">
        <v>33990000</v>
      </c>
      <c r="I214" s="13">
        <v>5665000</v>
      </c>
      <c r="J214" s="5">
        <f>4343166+I214</f>
        <v>10008166</v>
      </c>
      <c r="K214" s="6">
        <f t="shared" si="11"/>
        <v>23981834</v>
      </c>
      <c r="L214" s="1">
        <f t="shared" si="12"/>
        <v>0.29444442483083255</v>
      </c>
      <c r="M214" s="14">
        <v>0</v>
      </c>
      <c r="N214" s="13"/>
      <c r="O214" s="9"/>
    </row>
    <row r="215" spans="1:15" ht="90">
      <c r="A215" s="41" t="s">
        <v>681</v>
      </c>
      <c r="B215" s="42">
        <v>53045693</v>
      </c>
      <c r="C215" s="42">
        <v>0</v>
      </c>
      <c r="D215" s="34" t="s">
        <v>608</v>
      </c>
      <c r="E215" s="42">
        <v>207</v>
      </c>
      <c r="F215" s="28">
        <v>45785</v>
      </c>
      <c r="G215" s="43">
        <v>45968</v>
      </c>
      <c r="H215" s="13">
        <v>61800000</v>
      </c>
      <c r="I215" s="13">
        <v>10300000</v>
      </c>
      <c r="J215" s="5">
        <f>7896666+I215+I215</f>
        <v>28496666</v>
      </c>
      <c r="K215" s="6">
        <f t="shared" si="11"/>
        <v>33303334</v>
      </c>
      <c r="L215" s="1">
        <f t="shared" si="12"/>
        <v>0.46111110032362457</v>
      </c>
      <c r="M215" s="14">
        <v>0</v>
      </c>
      <c r="N215" s="13"/>
      <c r="O215" s="9"/>
    </row>
    <row r="216" spans="1:15" ht="90">
      <c r="A216" s="41" t="s">
        <v>682</v>
      </c>
      <c r="B216" s="42">
        <v>81717601</v>
      </c>
      <c r="C216" s="42">
        <v>1</v>
      </c>
      <c r="D216" s="34" t="s">
        <v>609</v>
      </c>
      <c r="E216" s="42">
        <v>208</v>
      </c>
      <c r="F216" s="28">
        <v>45785</v>
      </c>
      <c r="G216" s="43">
        <v>45968</v>
      </c>
      <c r="H216" s="13">
        <v>56238000</v>
      </c>
      <c r="I216" s="13">
        <v>9373000</v>
      </c>
      <c r="J216" s="5">
        <f>7185966+I216</f>
        <v>16558966</v>
      </c>
      <c r="K216" s="6">
        <f t="shared" si="11"/>
        <v>39679034</v>
      </c>
      <c r="L216" s="1">
        <f t="shared" si="12"/>
        <v>0.2944444325900637</v>
      </c>
      <c r="M216" s="14">
        <v>0</v>
      </c>
      <c r="N216" s="13"/>
      <c r="O216" s="9"/>
    </row>
    <row r="217" spans="1:15" ht="105">
      <c r="A217" s="41" t="s">
        <v>683</v>
      </c>
      <c r="B217" s="42">
        <v>1072662456</v>
      </c>
      <c r="C217" s="42">
        <v>8</v>
      </c>
      <c r="D217" s="34" t="s">
        <v>610</v>
      </c>
      <c r="E217" s="42">
        <v>209</v>
      </c>
      <c r="F217" s="28">
        <v>45782</v>
      </c>
      <c r="G217" s="43">
        <v>46022</v>
      </c>
      <c r="H217" s="13">
        <v>64821333</v>
      </c>
      <c r="I217" s="13">
        <v>8240000</v>
      </c>
      <c r="J217" s="5">
        <f>7141333+I217+I217</f>
        <v>23621333</v>
      </c>
      <c r="K217" s="6">
        <f t="shared" si="11"/>
        <v>41200000</v>
      </c>
      <c r="L217" s="1">
        <f t="shared" si="12"/>
        <v>0.36440677639258046</v>
      </c>
      <c r="M217" s="14">
        <v>0</v>
      </c>
      <c r="N217" s="13"/>
      <c r="O217" s="9"/>
    </row>
    <row r="218" spans="1:15" ht="75">
      <c r="A218" s="41" t="s">
        <v>684</v>
      </c>
      <c r="B218" s="42">
        <v>33367099</v>
      </c>
      <c r="C218" s="42">
        <v>4</v>
      </c>
      <c r="D218" s="34" t="s">
        <v>611</v>
      </c>
      <c r="E218" s="42">
        <v>210</v>
      </c>
      <c r="F218" s="28">
        <v>45784</v>
      </c>
      <c r="G218" s="43">
        <v>46022</v>
      </c>
      <c r="H218" s="13">
        <v>64272000</v>
      </c>
      <c r="I218" s="13">
        <v>8240000</v>
      </c>
      <c r="J218" s="5">
        <f>6592000+I218+I218</f>
        <v>23072000</v>
      </c>
      <c r="K218" s="6">
        <f t="shared" si="11"/>
        <v>41200000</v>
      </c>
      <c r="L218" s="1">
        <f t="shared" si="12"/>
        <v>0.35897435897435892</v>
      </c>
      <c r="M218" s="14">
        <v>0</v>
      </c>
      <c r="N218" s="13"/>
      <c r="O218" s="9"/>
    </row>
    <row r="219" spans="1:15" ht="75">
      <c r="A219" s="41" t="s">
        <v>685</v>
      </c>
      <c r="B219" s="42"/>
      <c r="C219" s="42"/>
      <c r="D219" s="34" t="s">
        <v>612</v>
      </c>
      <c r="E219" s="42">
        <v>211</v>
      </c>
      <c r="F219" s="42"/>
      <c r="G219" s="43"/>
      <c r="H219" s="13">
        <v>531500000</v>
      </c>
      <c r="I219" s="13"/>
      <c r="J219" s="5">
        <v>0</v>
      </c>
      <c r="K219" s="6">
        <f t="shared" si="11"/>
        <v>531500000</v>
      </c>
      <c r="L219" s="1">
        <f t="shared" si="12"/>
        <v>0</v>
      </c>
      <c r="M219" s="14">
        <v>0</v>
      </c>
      <c r="N219" s="13"/>
      <c r="O219" s="9"/>
    </row>
    <row r="220" spans="1:15" ht="90">
      <c r="A220" s="41" t="s">
        <v>139</v>
      </c>
      <c r="B220" s="42">
        <v>79595786</v>
      </c>
      <c r="C220" s="42">
        <v>6</v>
      </c>
      <c r="D220" s="34" t="s">
        <v>613</v>
      </c>
      <c r="E220" s="42">
        <v>212</v>
      </c>
      <c r="F220" s="28">
        <v>45784</v>
      </c>
      <c r="G220" s="43">
        <v>46022</v>
      </c>
      <c r="H220" s="13">
        <v>68289000</v>
      </c>
      <c r="I220" s="13">
        <v>8755000</v>
      </c>
      <c r="J220" s="5">
        <f>7004000+I220+I220</f>
        <v>24514000</v>
      </c>
      <c r="K220" s="6">
        <f t="shared" si="11"/>
        <v>43775000</v>
      </c>
      <c r="L220" s="1">
        <f t="shared" si="12"/>
        <v>0.35897435897435892</v>
      </c>
      <c r="M220" s="14">
        <v>0</v>
      </c>
      <c r="N220" s="13"/>
      <c r="O220" s="9"/>
    </row>
    <row r="221" spans="1:15" ht="90">
      <c r="A221" s="7" t="s">
        <v>119</v>
      </c>
      <c r="B221" s="8">
        <v>1010215529</v>
      </c>
      <c r="C221" s="8">
        <v>5</v>
      </c>
      <c r="D221" s="9" t="s">
        <v>614</v>
      </c>
      <c r="E221" s="8">
        <v>213</v>
      </c>
      <c r="F221" s="10">
        <v>45784</v>
      </c>
      <c r="G221" s="11">
        <v>46022</v>
      </c>
      <c r="H221" s="5">
        <v>68289000</v>
      </c>
      <c r="I221" s="5">
        <v>8755000</v>
      </c>
      <c r="J221" s="5">
        <f>7004000+I221+I221</f>
        <v>24514000</v>
      </c>
      <c r="K221" s="6">
        <f t="shared" si="11"/>
        <v>43775000</v>
      </c>
      <c r="L221" s="1">
        <f t="shared" si="12"/>
        <v>0.35897435897435892</v>
      </c>
      <c r="M221" s="12">
        <v>0</v>
      </c>
      <c r="N221" s="5"/>
      <c r="O221" s="9"/>
    </row>
    <row r="222" spans="1:15" ht="45">
      <c r="A222" s="7" t="s">
        <v>686</v>
      </c>
      <c r="B222" s="8">
        <v>80449429</v>
      </c>
      <c r="C222" s="8">
        <v>5</v>
      </c>
      <c r="D222" s="9" t="s">
        <v>615</v>
      </c>
      <c r="E222" s="8">
        <v>214</v>
      </c>
      <c r="F222" s="10">
        <v>45783</v>
      </c>
      <c r="G222" s="11">
        <v>46022</v>
      </c>
      <c r="H222" s="5">
        <v>60770000</v>
      </c>
      <c r="I222" s="5">
        <v>7725000</v>
      </c>
      <c r="J222" s="5">
        <v>0</v>
      </c>
      <c r="K222" s="6">
        <f t="shared" si="11"/>
        <v>60770000</v>
      </c>
      <c r="L222" s="1">
        <f t="shared" si="12"/>
        <v>0</v>
      </c>
      <c r="M222" s="12">
        <v>0</v>
      </c>
      <c r="N222" s="5"/>
      <c r="O222" s="9"/>
    </row>
    <row r="223" spans="1:15" ht="120">
      <c r="A223" s="7" t="s">
        <v>687</v>
      </c>
      <c r="B223" s="8">
        <v>52793513</v>
      </c>
      <c r="C223" s="8">
        <v>8</v>
      </c>
      <c r="D223" s="9" t="s">
        <v>616</v>
      </c>
      <c r="E223" s="8">
        <v>215</v>
      </c>
      <c r="F223" s="10">
        <v>45784</v>
      </c>
      <c r="G223" s="11">
        <v>46022</v>
      </c>
      <c r="H223" s="5">
        <v>52221000</v>
      </c>
      <c r="I223" s="5">
        <v>6695000</v>
      </c>
      <c r="J223" s="5">
        <f>6695000+5356000+I223+7725000+I223+7725000</f>
        <v>40891000</v>
      </c>
      <c r="K223" s="6">
        <f t="shared" si="11"/>
        <v>11330000</v>
      </c>
      <c r="L223" s="1">
        <f t="shared" si="12"/>
        <v>0.78303747534516766</v>
      </c>
      <c r="M223" s="12">
        <v>0</v>
      </c>
      <c r="N223" s="5"/>
      <c r="O223" s="9"/>
    </row>
    <row r="224" spans="1:15" ht="120">
      <c r="A224" s="7" t="s">
        <v>688</v>
      </c>
      <c r="B224" s="8">
        <v>35417492</v>
      </c>
      <c r="C224" s="8">
        <v>9</v>
      </c>
      <c r="D224" s="9" t="s">
        <v>617</v>
      </c>
      <c r="E224" s="8">
        <v>216</v>
      </c>
      <c r="F224" s="10">
        <v>45783</v>
      </c>
      <c r="G224" s="11">
        <v>46022</v>
      </c>
      <c r="H224" s="5">
        <v>52444167</v>
      </c>
      <c r="I224" s="5">
        <v>6695000</v>
      </c>
      <c r="J224" s="5">
        <f>5579167+I224+I224</f>
        <v>18969167</v>
      </c>
      <c r="K224" s="6">
        <f t="shared" si="11"/>
        <v>33475000</v>
      </c>
      <c r="L224" s="1">
        <f t="shared" si="12"/>
        <v>0.36170213171657395</v>
      </c>
      <c r="M224" s="12">
        <v>0</v>
      </c>
      <c r="N224" s="5"/>
      <c r="O224" s="9"/>
    </row>
    <row r="225" spans="1:15" ht="90">
      <c r="A225" s="7" t="s">
        <v>689</v>
      </c>
      <c r="B225" s="8">
        <v>1121332207</v>
      </c>
      <c r="C225" s="8">
        <v>2</v>
      </c>
      <c r="D225" s="9" t="s">
        <v>618</v>
      </c>
      <c r="E225" s="8">
        <v>217</v>
      </c>
      <c r="F225" s="10">
        <v>45786</v>
      </c>
      <c r="G225" s="11">
        <v>46022</v>
      </c>
      <c r="H225" s="5">
        <v>31466500</v>
      </c>
      <c r="I225" s="5">
        <v>4017000</v>
      </c>
      <c r="J225" s="5">
        <f>2945800+I225+I225</f>
        <v>10979800</v>
      </c>
      <c r="K225" s="6">
        <f t="shared" si="11"/>
        <v>20486700</v>
      </c>
      <c r="L225" s="1">
        <f t="shared" si="12"/>
        <v>0.34893617021276591</v>
      </c>
      <c r="M225" s="12">
        <v>0</v>
      </c>
      <c r="N225" s="5"/>
      <c r="O225" s="9"/>
    </row>
    <row r="226" spans="1:15" ht="75">
      <c r="A226" s="7" t="s">
        <v>690</v>
      </c>
      <c r="B226" s="8">
        <v>1010218439</v>
      </c>
      <c r="C226" s="8">
        <v>4</v>
      </c>
      <c r="D226" s="9" t="s">
        <v>619</v>
      </c>
      <c r="E226" s="8">
        <v>218</v>
      </c>
      <c r="F226" s="10">
        <v>45783</v>
      </c>
      <c r="G226" s="11">
        <v>46022</v>
      </c>
      <c r="H226" s="5">
        <v>60770000</v>
      </c>
      <c r="I226" s="5">
        <v>7725000</v>
      </c>
      <c r="J226" s="5">
        <f>6695000+I226+I226</f>
        <v>22145000</v>
      </c>
      <c r="K226" s="6">
        <f t="shared" si="11"/>
        <v>38625000</v>
      </c>
      <c r="L226" s="1">
        <f t="shared" si="12"/>
        <v>0.36440677966101698</v>
      </c>
      <c r="M226" s="12">
        <v>0</v>
      </c>
      <c r="N226" s="5"/>
      <c r="O226" s="9"/>
    </row>
    <row r="227" spans="1:15" ht="45">
      <c r="A227" s="7" t="s">
        <v>691</v>
      </c>
      <c r="B227" s="8">
        <v>1070821692</v>
      </c>
      <c r="C227" s="8">
        <v>5</v>
      </c>
      <c r="D227" s="9" t="s">
        <v>620</v>
      </c>
      <c r="E227" s="8">
        <v>219</v>
      </c>
      <c r="F227" s="10">
        <v>45783</v>
      </c>
      <c r="G227" s="11">
        <v>45971</v>
      </c>
      <c r="H227" s="5">
        <v>24771500</v>
      </c>
      <c r="I227" s="5">
        <v>4017000</v>
      </c>
      <c r="J227" s="5">
        <f>3347500+I227+I227</f>
        <v>11381500</v>
      </c>
      <c r="K227" s="6">
        <f t="shared" si="11"/>
        <v>13390000</v>
      </c>
      <c r="L227" s="1">
        <f t="shared" si="12"/>
        <v>0.45945945945945943</v>
      </c>
      <c r="M227" s="12">
        <v>0</v>
      </c>
      <c r="N227" s="5"/>
      <c r="O227" s="9"/>
    </row>
    <row r="228" spans="1:15" ht="75">
      <c r="A228" s="7" t="s">
        <v>692</v>
      </c>
      <c r="B228" s="8">
        <v>52966715</v>
      </c>
      <c r="C228" s="8">
        <v>2</v>
      </c>
      <c r="D228" s="9" t="s">
        <v>621</v>
      </c>
      <c r="E228" s="8">
        <v>220</v>
      </c>
      <c r="F228" s="10">
        <v>45784</v>
      </c>
      <c r="G228" s="11">
        <v>45967</v>
      </c>
      <c r="H228" s="5">
        <v>27810000</v>
      </c>
      <c r="I228" s="5">
        <v>4635000</v>
      </c>
      <c r="J228" s="5">
        <f>3708000+I228+I228</f>
        <v>12978000</v>
      </c>
      <c r="K228" s="6">
        <f t="shared" si="11"/>
        <v>14832000</v>
      </c>
      <c r="L228" s="1">
        <f t="shared" si="12"/>
        <v>0.46666666666666667</v>
      </c>
      <c r="M228" s="12">
        <v>0</v>
      </c>
      <c r="N228" s="5"/>
      <c r="O228" s="9"/>
    </row>
    <row r="229" spans="1:15" ht="60">
      <c r="A229" s="7" t="s">
        <v>693</v>
      </c>
      <c r="B229" s="8">
        <v>1073384011</v>
      </c>
      <c r="C229" s="8">
        <v>5</v>
      </c>
      <c r="D229" s="44" t="s">
        <v>622</v>
      </c>
      <c r="E229" s="8">
        <v>221</v>
      </c>
      <c r="F229" s="10">
        <v>45789</v>
      </c>
      <c r="G229" s="11">
        <v>46022</v>
      </c>
      <c r="H229" s="5">
        <v>14735867</v>
      </c>
      <c r="I229" s="5">
        <v>1905500</v>
      </c>
      <c r="J229" s="5">
        <f>1206816+I229</f>
        <v>3112316</v>
      </c>
      <c r="K229" s="6">
        <f t="shared" si="11"/>
        <v>11623551</v>
      </c>
      <c r="L229" s="1">
        <f t="shared" si="12"/>
        <v>0.21120684653302046</v>
      </c>
      <c r="M229" s="12">
        <v>0</v>
      </c>
      <c r="N229" s="5"/>
      <c r="O229" s="9"/>
    </row>
    <row r="230" spans="1:15" ht="105">
      <c r="A230" s="7" t="s">
        <v>694</v>
      </c>
      <c r="B230" s="8">
        <v>37555335</v>
      </c>
      <c r="C230" s="8">
        <v>9</v>
      </c>
      <c r="D230" s="8" t="s">
        <v>623</v>
      </c>
      <c r="E230" s="8">
        <v>222</v>
      </c>
      <c r="F230" s="10">
        <v>45784</v>
      </c>
      <c r="G230" s="11">
        <v>46022</v>
      </c>
      <c r="H230" s="5">
        <v>68289000</v>
      </c>
      <c r="I230" s="5">
        <v>8755000</v>
      </c>
      <c r="J230" s="5">
        <f>7004000+I230+I230</f>
        <v>24514000</v>
      </c>
      <c r="K230" s="6">
        <f t="shared" si="11"/>
        <v>43775000</v>
      </c>
      <c r="L230" s="1">
        <f t="shared" si="12"/>
        <v>0.35897435897435892</v>
      </c>
      <c r="M230" s="12">
        <v>0</v>
      </c>
      <c r="N230" s="5"/>
      <c r="O230" s="9"/>
    </row>
    <row r="231" spans="1:15" ht="75">
      <c r="A231" s="7" t="s">
        <v>695</v>
      </c>
      <c r="B231" s="8">
        <v>7332745</v>
      </c>
      <c r="C231" s="8">
        <v>9</v>
      </c>
      <c r="D231" s="8" t="s">
        <v>624</v>
      </c>
      <c r="E231" s="8">
        <v>223</v>
      </c>
      <c r="F231" s="10">
        <v>45784</v>
      </c>
      <c r="G231" s="11">
        <v>46022</v>
      </c>
      <c r="H231" s="5">
        <v>48204000</v>
      </c>
      <c r="I231" s="5">
        <v>6180000</v>
      </c>
      <c r="J231" s="5">
        <f>4944000+I231+I231</f>
        <v>17304000</v>
      </c>
      <c r="K231" s="6">
        <f t="shared" si="11"/>
        <v>30900000</v>
      </c>
      <c r="L231" s="1">
        <f t="shared" si="12"/>
        <v>0.35897435897435892</v>
      </c>
      <c r="M231" s="12">
        <v>0</v>
      </c>
      <c r="N231" s="5"/>
      <c r="O231" s="9"/>
    </row>
    <row r="232" spans="1:15" ht="150">
      <c r="A232" s="7" t="s">
        <v>696</v>
      </c>
      <c r="B232" s="8">
        <v>1102856359</v>
      </c>
      <c r="C232" s="8">
        <v>3</v>
      </c>
      <c r="D232" s="8" t="s">
        <v>625</v>
      </c>
      <c r="E232" s="8">
        <v>224</v>
      </c>
      <c r="F232" s="10">
        <v>45784</v>
      </c>
      <c r="G232" s="11">
        <v>46022</v>
      </c>
      <c r="H232" s="5">
        <v>52221000</v>
      </c>
      <c r="I232" s="5">
        <v>6695000</v>
      </c>
      <c r="J232" s="5">
        <f>5356000+I232+I232</f>
        <v>18746000</v>
      </c>
      <c r="K232" s="6">
        <f t="shared" si="11"/>
        <v>33475000</v>
      </c>
      <c r="L232" s="1">
        <f t="shared" si="12"/>
        <v>0.35897435897435892</v>
      </c>
      <c r="M232" s="12">
        <v>0</v>
      </c>
      <c r="N232" s="5"/>
      <c r="O232" s="9"/>
    </row>
    <row r="233" spans="1:15" ht="45">
      <c r="A233" s="7" t="s">
        <v>697</v>
      </c>
      <c r="B233" s="8">
        <v>1026260361</v>
      </c>
      <c r="C233" s="8">
        <v>4</v>
      </c>
      <c r="D233" s="8" t="s">
        <v>626</v>
      </c>
      <c r="E233" s="8">
        <v>225</v>
      </c>
      <c r="F233" s="10">
        <v>45784</v>
      </c>
      <c r="G233" s="11">
        <v>45875</v>
      </c>
      <c r="H233" s="5">
        <v>15450000</v>
      </c>
      <c r="I233" s="5">
        <v>5150000</v>
      </c>
      <c r="J233" s="5">
        <f>4120000+I233</f>
        <v>9270000</v>
      </c>
      <c r="K233" s="6">
        <f t="shared" si="11"/>
        <v>6180000</v>
      </c>
      <c r="L233" s="1">
        <f t="shared" si="12"/>
        <v>0.6</v>
      </c>
      <c r="M233" s="12">
        <v>0</v>
      </c>
      <c r="N233" s="5"/>
      <c r="O233" s="9"/>
    </row>
    <row r="234" spans="1:15" ht="60">
      <c r="A234" s="7" t="s">
        <v>698</v>
      </c>
      <c r="B234" s="8">
        <v>1032467452</v>
      </c>
      <c r="C234" s="8">
        <v>8</v>
      </c>
      <c r="D234" s="8" t="s">
        <v>627</v>
      </c>
      <c r="E234" s="8">
        <v>226</v>
      </c>
      <c r="F234" s="10">
        <v>45798</v>
      </c>
      <c r="G234" s="11">
        <v>46022</v>
      </c>
      <c r="H234" s="5">
        <v>41921000</v>
      </c>
      <c r="I234" s="5">
        <v>5665000</v>
      </c>
      <c r="J234" s="5">
        <f>2266000+I234+I234</f>
        <v>13596000</v>
      </c>
      <c r="K234" s="6">
        <f t="shared" si="11"/>
        <v>28325000</v>
      </c>
      <c r="L234" s="1">
        <f t="shared" si="12"/>
        <v>0.32432432432432434</v>
      </c>
      <c r="M234" s="12">
        <v>0</v>
      </c>
      <c r="N234" s="5"/>
      <c r="O234" s="9"/>
    </row>
    <row r="235" spans="1:15" ht="90">
      <c r="A235" s="7" t="s">
        <v>699</v>
      </c>
      <c r="B235" s="8">
        <v>1012376050</v>
      </c>
      <c r="C235" s="8">
        <v>7</v>
      </c>
      <c r="D235" s="8" t="s">
        <v>628</v>
      </c>
      <c r="E235" s="8">
        <v>227</v>
      </c>
      <c r="F235" s="10">
        <v>45813</v>
      </c>
      <c r="G235" s="11">
        <v>46022</v>
      </c>
      <c r="H235" s="5">
        <v>25585200</v>
      </c>
      <c r="I235" s="5">
        <v>3708000</v>
      </c>
      <c r="J235" s="5">
        <f>3213600</f>
        <v>3213600</v>
      </c>
      <c r="K235" s="6">
        <f t="shared" si="11"/>
        <v>22371600</v>
      </c>
      <c r="L235" s="1">
        <f t="shared" si="12"/>
        <v>0.12560386473429952</v>
      </c>
      <c r="M235" s="12">
        <v>0</v>
      </c>
      <c r="N235" s="5"/>
      <c r="O235" s="9"/>
    </row>
    <row r="236" spans="1:15" ht="105">
      <c r="A236" s="7" t="s">
        <v>700</v>
      </c>
      <c r="B236" s="8">
        <v>1120740182</v>
      </c>
      <c r="C236" s="8">
        <v>3</v>
      </c>
      <c r="D236" s="8" t="s">
        <v>629</v>
      </c>
      <c r="E236" s="8">
        <v>228</v>
      </c>
      <c r="F236" s="10">
        <v>45785</v>
      </c>
      <c r="G236" s="11">
        <v>46022</v>
      </c>
      <c r="H236" s="5">
        <v>63997333</v>
      </c>
      <c r="I236" s="5">
        <v>8240000</v>
      </c>
      <c r="J236" s="5">
        <f>6317333+I236+I236</f>
        <v>22797333</v>
      </c>
      <c r="K236" s="6">
        <f t="shared" si="11"/>
        <v>41200000</v>
      </c>
      <c r="L236" s="1">
        <f t="shared" si="12"/>
        <v>0.35622317261252123</v>
      </c>
      <c r="M236" s="12">
        <v>0</v>
      </c>
      <c r="N236" s="5"/>
      <c r="O236" s="9"/>
    </row>
    <row r="237" spans="1:15" ht="90">
      <c r="A237" s="7" t="s">
        <v>108</v>
      </c>
      <c r="B237" s="8">
        <v>34568513</v>
      </c>
      <c r="C237" s="8">
        <v>9</v>
      </c>
      <c r="D237" s="8" t="s">
        <v>630</v>
      </c>
      <c r="E237" s="8">
        <v>229</v>
      </c>
      <c r="F237" s="10">
        <v>45785</v>
      </c>
      <c r="G237" s="11">
        <v>46022</v>
      </c>
      <c r="H237" s="5">
        <v>72796967</v>
      </c>
      <c r="I237" s="5">
        <v>9373000</v>
      </c>
      <c r="J237" s="5">
        <f>7185967+I237+I237</f>
        <v>25931967</v>
      </c>
      <c r="K237" s="6">
        <f t="shared" si="11"/>
        <v>46865000</v>
      </c>
      <c r="L237" s="1">
        <f t="shared" si="12"/>
        <v>0.3562231789134841</v>
      </c>
      <c r="M237" s="12">
        <v>0</v>
      </c>
      <c r="N237" s="5"/>
      <c r="O237" s="9"/>
    </row>
    <row r="238" spans="1:15" ht="105">
      <c r="A238" s="7" t="s">
        <v>701</v>
      </c>
      <c r="B238" s="8">
        <v>1019146315</v>
      </c>
      <c r="C238" s="8">
        <v>2</v>
      </c>
      <c r="D238" s="8" t="s">
        <v>631</v>
      </c>
      <c r="E238" s="8">
        <v>230</v>
      </c>
      <c r="F238" s="10">
        <v>45789</v>
      </c>
      <c r="G238" s="11">
        <v>46022</v>
      </c>
      <c r="H238" s="5">
        <v>28798800</v>
      </c>
      <c r="I238" s="5">
        <v>3708000</v>
      </c>
      <c r="J238" s="5">
        <f>2348400+I238+I238</f>
        <v>9764400</v>
      </c>
      <c r="K238" s="6">
        <f t="shared" si="11"/>
        <v>19034400</v>
      </c>
      <c r="L238" s="1">
        <f t="shared" si="12"/>
        <v>0.33905579399141628</v>
      </c>
      <c r="M238" s="12">
        <v>0</v>
      </c>
      <c r="N238" s="5"/>
      <c r="O238" s="9"/>
    </row>
    <row r="239" spans="1:15" ht="120">
      <c r="A239" s="7" t="s">
        <v>702</v>
      </c>
      <c r="B239" s="8">
        <v>1110588794</v>
      </c>
      <c r="C239" s="8">
        <v>3</v>
      </c>
      <c r="D239" s="8" t="s">
        <v>632</v>
      </c>
      <c r="E239" s="8">
        <v>231</v>
      </c>
      <c r="F239" s="10">
        <v>45792</v>
      </c>
      <c r="G239" s="11">
        <v>46022</v>
      </c>
      <c r="H239" s="5">
        <v>54555667</v>
      </c>
      <c r="I239" s="5">
        <v>7210000</v>
      </c>
      <c r="J239" s="5">
        <f>3845333+I239+I239</f>
        <v>18265333</v>
      </c>
      <c r="K239" s="6">
        <f t="shared" si="11"/>
        <v>36290334</v>
      </c>
      <c r="L239" s="1">
        <f t="shared" si="12"/>
        <v>0.33480175395894252</v>
      </c>
      <c r="M239" s="12">
        <v>0</v>
      </c>
      <c r="N239" s="5"/>
      <c r="O239" s="9"/>
    </row>
    <row r="240" spans="1:15" ht="90">
      <c r="A240" s="7" t="s">
        <v>134</v>
      </c>
      <c r="B240" s="8">
        <v>1070948522</v>
      </c>
      <c r="C240" s="8">
        <v>8</v>
      </c>
      <c r="D240" s="8" t="s">
        <v>633</v>
      </c>
      <c r="E240" s="8">
        <v>232</v>
      </c>
      <c r="F240" s="10">
        <v>45786</v>
      </c>
      <c r="G240" s="11">
        <v>46014</v>
      </c>
      <c r="H240" s="5">
        <v>50212500</v>
      </c>
      <c r="I240" s="5">
        <v>6695000</v>
      </c>
      <c r="J240" s="5">
        <f>4909667+I240+I240</f>
        <v>18299667</v>
      </c>
      <c r="K240" s="6">
        <f t="shared" si="11"/>
        <v>31912833</v>
      </c>
      <c r="L240" s="1">
        <f t="shared" si="12"/>
        <v>0.36444445108289769</v>
      </c>
      <c r="M240" s="12">
        <v>0</v>
      </c>
      <c r="N240" s="5"/>
      <c r="O240" s="9"/>
    </row>
    <row r="241" spans="1:15" ht="120">
      <c r="A241" s="7" t="s">
        <v>703</v>
      </c>
      <c r="B241" s="8">
        <v>12646538</v>
      </c>
      <c r="C241" s="8">
        <v>7</v>
      </c>
      <c r="D241" s="8" t="s">
        <v>634</v>
      </c>
      <c r="E241" s="8">
        <v>233</v>
      </c>
      <c r="F241" s="10">
        <v>45789</v>
      </c>
      <c r="G241" s="11">
        <v>46022</v>
      </c>
      <c r="H241" s="5">
        <v>71547233</v>
      </c>
      <c r="I241" s="5">
        <v>9373000</v>
      </c>
      <c r="J241" s="5">
        <f>5936233+I241+I241</f>
        <v>24682233</v>
      </c>
      <c r="K241" s="6">
        <f t="shared" si="11"/>
        <v>46865000</v>
      </c>
      <c r="L241" s="1">
        <f t="shared" si="12"/>
        <v>0.34497816288716576</v>
      </c>
      <c r="M241" s="12">
        <v>0</v>
      </c>
      <c r="N241" s="5"/>
      <c r="O241" s="9"/>
    </row>
    <row r="242" spans="1:15" ht="120">
      <c r="A242" s="7" t="s">
        <v>704</v>
      </c>
      <c r="B242" s="8">
        <v>1015411723</v>
      </c>
      <c r="C242" s="8">
        <v>6</v>
      </c>
      <c r="D242" s="8" t="s">
        <v>635</v>
      </c>
      <c r="E242" s="8">
        <v>234</v>
      </c>
      <c r="F242" s="10">
        <v>45796</v>
      </c>
      <c r="G242" s="11">
        <v>46022</v>
      </c>
      <c r="H242" s="5">
        <v>62349333</v>
      </c>
      <c r="I242" s="5">
        <v>8240000</v>
      </c>
      <c r="J242" s="5">
        <f>3296000+I242+I242</f>
        <v>19776000</v>
      </c>
      <c r="K242" s="6">
        <f t="shared" si="11"/>
        <v>42573333</v>
      </c>
      <c r="L242" s="1">
        <f t="shared" si="12"/>
        <v>0.31718061843580592</v>
      </c>
      <c r="M242" s="12">
        <v>0</v>
      </c>
      <c r="N242" s="5"/>
      <c r="O242" s="9"/>
    </row>
    <row r="243" spans="1:15" ht="60">
      <c r="A243" s="7" t="s">
        <v>705</v>
      </c>
      <c r="B243" s="8">
        <v>1018415947</v>
      </c>
      <c r="C243" s="8">
        <v>8</v>
      </c>
      <c r="D243" s="8" t="s">
        <v>636</v>
      </c>
      <c r="E243" s="8">
        <v>235</v>
      </c>
      <c r="F243" s="10">
        <v>45797</v>
      </c>
      <c r="G243" s="11">
        <v>46022</v>
      </c>
      <c r="H243" s="5">
        <v>50882000</v>
      </c>
      <c r="I243" s="5">
        <v>6695000</v>
      </c>
      <c r="J243" s="5">
        <f>2454833+I243+I243</f>
        <v>15844833</v>
      </c>
      <c r="K243" s="6">
        <f t="shared" si="11"/>
        <v>35037167</v>
      </c>
      <c r="L243" s="1">
        <f t="shared" si="12"/>
        <v>0.31140350222082469</v>
      </c>
      <c r="M243" s="12">
        <v>0</v>
      </c>
      <c r="N243" s="5"/>
      <c r="O243" s="9"/>
    </row>
    <row r="244" spans="1:15" ht="45">
      <c r="A244" s="7" t="s">
        <v>706</v>
      </c>
      <c r="B244" s="8">
        <v>1032377717</v>
      </c>
      <c r="C244" s="8">
        <v>8</v>
      </c>
      <c r="D244" s="8" t="s">
        <v>637</v>
      </c>
      <c r="E244" s="8">
        <v>236</v>
      </c>
      <c r="F244" s="10">
        <v>45790</v>
      </c>
      <c r="G244" s="11">
        <v>46022</v>
      </c>
      <c r="H244" s="5">
        <v>35226000</v>
      </c>
      <c r="I244" s="5">
        <v>4635000</v>
      </c>
      <c r="J244" s="5">
        <f>2781000+I244+I244</f>
        <v>12051000</v>
      </c>
      <c r="K244" s="6">
        <f t="shared" si="11"/>
        <v>23175000</v>
      </c>
      <c r="L244" s="1">
        <f t="shared" si="12"/>
        <v>0.34210526315789469</v>
      </c>
      <c r="M244" s="12">
        <v>0</v>
      </c>
      <c r="N244" s="5"/>
      <c r="O244" s="9"/>
    </row>
    <row r="245" spans="1:15" ht="60">
      <c r="A245" s="7" t="s">
        <v>707</v>
      </c>
      <c r="B245" s="8">
        <v>1121872051</v>
      </c>
      <c r="C245" s="8">
        <v>7</v>
      </c>
      <c r="D245" s="8" t="s">
        <v>638</v>
      </c>
      <c r="E245" s="8">
        <v>237</v>
      </c>
      <c r="F245" s="10">
        <v>45790</v>
      </c>
      <c r="G245" s="11">
        <v>46022</v>
      </c>
      <c r="H245" s="5">
        <v>62624000</v>
      </c>
      <c r="I245" s="5">
        <v>8240000</v>
      </c>
      <c r="J245" s="5">
        <v>0</v>
      </c>
      <c r="K245" s="6">
        <f t="shared" si="11"/>
        <v>62624000</v>
      </c>
      <c r="L245" s="1">
        <f t="shared" si="12"/>
        <v>0</v>
      </c>
      <c r="M245" s="12">
        <v>0</v>
      </c>
      <c r="N245" s="5"/>
      <c r="O245" s="9"/>
    </row>
    <row r="246" spans="1:15" ht="60">
      <c r="A246" s="7" t="s">
        <v>708</v>
      </c>
      <c r="B246" s="8">
        <v>80728738</v>
      </c>
      <c r="C246" s="8">
        <v>3</v>
      </c>
      <c r="D246" s="8" t="s">
        <v>639</v>
      </c>
      <c r="E246" s="8">
        <v>238</v>
      </c>
      <c r="F246" s="10">
        <v>45791</v>
      </c>
      <c r="G246" s="11">
        <v>46022</v>
      </c>
      <c r="H246" s="5">
        <v>25080000</v>
      </c>
      <c r="I246" s="5">
        <v>3300000</v>
      </c>
      <c r="J246" s="5">
        <f>1870000+I246+I246</f>
        <v>8470000</v>
      </c>
      <c r="K246" s="6">
        <f t="shared" si="11"/>
        <v>16610000</v>
      </c>
      <c r="L246" s="1">
        <f t="shared" si="12"/>
        <v>0.33771929824561409</v>
      </c>
      <c r="M246" s="12">
        <v>0</v>
      </c>
      <c r="N246" s="5"/>
      <c r="O246" s="9"/>
    </row>
    <row r="247" spans="1:15" ht="30">
      <c r="A247" s="7" t="s">
        <v>709</v>
      </c>
      <c r="B247" s="8">
        <v>1001271551</v>
      </c>
      <c r="C247" s="8">
        <v>3</v>
      </c>
      <c r="D247" s="8" t="s">
        <v>640</v>
      </c>
      <c r="E247" s="8">
        <v>239</v>
      </c>
      <c r="F247" s="10">
        <v>45790</v>
      </c>
      <c r="G247" s="11">
        <v>46022</v>
      </c>
      <c r="H247" s="5">
        <v>25080000</v>
      </c>
      <c r="I247" s="5">
        <v>3300000</v>
      </c>
      <c r="J247" s="5">
        <f>1980000+I247+I247</f>
        <v>8580000</v>
      </c>
      <c r="K247" s="6">
        <f t="shared" si="11"/>
        <v>16500000</v>
      </c>
      <c r="L247" s="1">
        <f t="shared" si="12"/>
        <v>0.34210526315789469</v>
      </c>
      <c r="M247" s="12">
        <v>0</v>
      </c>
      <c r="N247" s="5"/>
      <c r="O247" s="9"/>
    </row>
    <row r="248" spans="1:15" ht="60">
      <c r="A248" s="7" t="s">
        <v>710</v>
      </c>
      <c r="B248" s="8">
        <v>1022365163</v>
      </c>
      <c r="C248" s="8">
        <v>1</v>
      </c>
      <c r="D248" s="8" t="s">
        <v>641</v>
      </c>
      <c r="E248" s="8">
        <v>240</v>
      </c>
      <c r="F248" s="10">
        <v>45790</v>
      </c>
      <c r="G248" s="11">
        <v>46022</v>
      </c>
      <c r="H248" s="5">
        <v>46968000</v>
      </c>
      <c r="I248" s="5">
        <v>6180000</v>
      </c>
      <c r="J248" s="5">
        <f>3708000+I248+I248</f>
        <v>16068000</v>
      </c>
      <c r="K248" s="6">
        <f t="shared" si="11"/>
        <v>30900000</v>
      </c>
      <c r="L248" s="1">
        <f t="shared" si="12"/>
        <v>0.34210526315789469</v>
      </c>
      <c r="M248" s="12">
        <v>0</v>
      </c>
      <c r="N248" s="5"/>
      <c r="O248" s="9"/>
    </row>
    <row r="249" spans="1:15" ht="45">
      <c r="A249" s="7" t="s">
        <v>711</v>
      </c>
      <c r="B249" s="8">
        <v>1061726646</v>
      </c>
      <c r="C249" s="8">
        <v>7</v>
      </c>
      <c r="D249" s="8" t="s">
        <v>642</v>
      </c>
      <c r="E249" s="8">
        <v>241</v>
      </c>
      <c r="F249" s="10">
        <v>45792</v>
      </c>
      <c r="G249" s="11">
        <v>46022</v>
      </c>
      <c r="H249" s="5">
        <v>28057200</v>
      </c>
      <c r="I249" s="5">
        <v>3708000</v>
      </c>
      <c r="J249" s="5">
        <f>1854000+I249+I249</f>
        <v>9270000</v>
      </c>
      <c r="K249" s="6">
        <f t="shared" si="11"/>
        <v>18787200</v>
      </c>
      <c r="L249" s="1">
        <f t="shared" si="12"/>
        <v>0.33039647577092512</v>
      </c>
      <c r="M249" s="12">
        <v>0</v>
      </c>
      <c r="N249" s="5"/>
      <c r="O249" s="9"/>
    </row>
    <row r="250" spans="1:15" ht="45">
      <c r="A250" s="7" t="s">
        <v>712</v>
      </c>
      <c r="B250" s="8">
        <v>901376413</v>
      </c>
      <c r="C250" s="8">
        <v>0</v>
      </c>
      <c r="D250" s="8" t="s">
        <v>643</v>
      </c>
      <c r="E250" s="8">
        <v>242</v>
      </c>
      <c r="F250" s="10">
        <v>45799</v>
      </c>
      <c r="G250" s="11">
        <v>46022</v>
      </c>
      <c r="H250" s="5">
        <v>5150000</v>
      </c>
      <c r="I250" s="5"/>
      <c r="J250" s="5">
        <f>1658367</f>
        <v>1658367</v>
      </c>
      <c r="K250" s="6">
        <f t="shared" si="11"/>
        <v>3491633</v>
      </c>
      <c r="L250" s="1">
        <f t="shared" si="12"/>
        <v>0.32201300970873792</v>
      </c>
      <c r="M250" s="12">
        <v>0</v>
      </c>
      <c r="N250" s="5"/>
      <c r="O250" s="9"/>
    </row>
    <row r="251" spans="1:15" ht="60">
      <c r="A251" s="7" t="s">
        <v>713</v>
      </c>
      <c r="B251" s="8">
        <v>52560160</v>
      </c>
      <c r="C251" s="8">
        <v>1</v>
      </c>
      <c r="D251" s="8" t="s">
        <v>644</v>
      </c>
      <c r="E251" s="8">
        <v>243</v>
      </c>
      <c r="F251" s="8"/>
      <c r="G251" s="11"/>
      <c r="H251" s="5">
        <v>50212500</v>
      </c>
      <c r="I251" s="5">
        <v>6695000</v>
      </c>
      <c r="J251" s="5">
        <v>0</v>
      </c>
      <c r="K251" s="6">
        <f t="shared" si="11"/>
        <v>50212500</v>
      </c>
      <c r="L251" s="1">
        <f t="shared" si="12"/>
        <v>0</v>
      </c>
      <c r="M251" s="12">
        <v>0</v>
      </c>
      <c r="N251" s="5"/>
      <c r="O251" s="9"/>
    </row>
    <row r="252" spans="1:15" ht="60">
      <c r="A252" s="7" t="s">
        <v>131</v>
      </c>
      <c r="B252" s="8">
        <v>1128431117</v>
      </c>
      <c r="C252" s="8">
        <v>8</v>
      </c>
      <c r="D252" s="8" t="s">
        <v>645</v>
      </c>
      <c r="E252" s="8">
        <v>244</v>
      </c>
      <c r="F252" s="10">
        <v>45793</v>
      </c>
      <c r="G252" s="11">
        <v>46022</v>
      </c>
      <c r="H252" s="5">
        <v>28057200</v>
      </c>
      <c r="I252" s="5">
        <v>3708000</v>
      </c>
      <c r="J252" s="5">
        <f>1854000+I252+I252</f>
        <v>9270000</v>
      </c>
      <c r="K252" s="6">
        <f t="shared" si="11"/>
        <v>18787200</v>
      </c>
      <c r="L252" s="1">
        <f t="shared" si="12"/>
        <v>0.33039647577092512</v>
      </c>
      <c r="M252" s="12">
        <v>0</v>
      </c>
      <c r="N252" s="5"/>
      <c r="O252" s="9"/>
    </row>
    <row r="253" spans="1:15" ht="60">
      <c r="A253" s="7" t="s">
        <v>123</v>
      </c>
      <c r="B253" s="8">
        <v>52708089</v>
      </c>
      <c r="C253" s="8">
        <v>4</v>
      </c>
      <c r="D253" s="8" t="s">
        <v>646</v>
      </c>
      <c r="E253" s="8">
        <v>245</v>
      </c>
      <c r="F253" s="10">
        <v>45791</v>
      </c>
      <c r="G253" s="11">
        <v>46022</v>
      </c>
      <c r="H253" s="5">
        <v>66246167</v>
      </c>
      <c r="I253" s="5">
        <v>8755000</v>
      </c>
      <c r="J253" s="5">
        <f>4961167+I253+I253</f>
        <v>22471167</v>
      </c>
      <c r="K253" s="6">
        <f t="shared" si="11"/>
        <v>43775000</v>
      </c>
      <c r="L253" s="1">
        <f t="shared" si="12"/>
        <v>0.33920705178308652</v>
      </c>
      <c r="M253" s="12">
        <v>0</v>
      </c>
      <c r="N253" s="5"/>
      <c r="O253" s="9"/>
    </row>
    <row r="254" spans="1:15" ht="75">
      <c r="A254" s="7" t="s">
        <v>714</v>
      </c>
      <c r="B254" s="8">
        <v>1024594179</v>
      </c>
      <c r="C254" s="8">
        <v>6</v>
      </c>
      <c r="D254" s="8" t="s">
        <v>647</v>
      </c>
      <c r="E254" s="8">
        <v>246</v>
      </c>
      <c r="F254" s="10">
        <v>45791</v>
      </c>
      <c r="G254" s="11">
        <v>46014</v>
      </c>
      <c r="H254" s="5">
        <v>27192000</v>
      </c>
      <c r="I254" s="5">
        <v>3708000</v>
      </c>
      <c r="J254" s="5">
        <f>2101200+I254+I254</f>
        <v>9517200</v>
      </c>
      <c r="K254" s="6">
        <f t="shared" si="11"/>
        <v>17674800</v>
      </c>
      <c r="L254" s="1">
        <f t="shared" si="12"/>
        <v>0.35</v>
      </c>
      <c r="M254" s="12">
        <v>0</v>
      </c>
      <c r="N254" s="5"/>
      <c r="O254" s="9"/>
    </row>
    <row r="255" spans="1:15" ht="45">
      <c r="A255" s="45" t="s">
        <v>287</v>
      </c>
      <c r="B255" s="8">
        <v>32144118</v>
      </c>
      <c r="C255" s="8">
        <v>5</v>
      </c>
      <c r="D255" s="8" t="s">
        <v>648</v>
      </c>
      <c r="E255" s="8">
        <v>247</v>
      </c>
      <c r="F255" s="10">
        <v>45798</v>
      </c>
      <c r="G255" s="11">
        <v>46022</v>
      </c>
      <c r="H255" s="5">
        <v>65662500</v>
      </c>
      <c r="I255" s="5">
        <v>8755000</v>
      </c>
      <c r="J255" s="5">
        <f>2918333+I255+I255</f>
        <v>20428333</v>
      </c>
      <c r="K255" s="6">
        <f t="shared" ref="K255:K282" si="13">H255-J255</f>
        <v>45234167</v>
      </c>
      <c r="L255" s="1">
        <f t="shared" si="12"/>
        <v>0.31111110603464687</v>
      </c>
      <c r="M255" s="12">
        <v>0</v>
      </c>
      <c r="N255" s="5"/>
      <c r="O255" s="9"/>
    </row>
    <row r="256" spans="1:15" ht="120">
      <c r="A256" s="8" t="s">
        <v>715</v>
      </c>
      <c r="B256" s="8">
        <v>80037198</v>
      </c>
      <c r="C256" s="8">
        <v>0</v>
      </c>
      <c r="D256" s="8" t="s">
        <v>649</v>
      </c>
      <c r="E256" s="8">
        <v>248</v>
      </c>
      <c r="F256" s="10">
        <v>45803</v>
      </c>
      <c r="G256" s="11">
        <v>46022</v>
      </c>
      <c r="H256" s="5">
        <v>47980833</v>
      </c>
      <c r="I256" s="5">
        <v>6695000</v>
      </c>
      <c r="J256" s="5">
        <f>1115833+I256+I256</f>
        <v>14505833</v>
      </c>
      <c r="K256" s="6">
        <f t="shared" si="13"/>
        <v>33475000</v>
      </c>
      <c r="L256" s="1">
        <f t="shared" si="12"/>
        <v>0.30232557654845216</v>
      </c>
      <c r="M256" s="12">
        <v>0</v>
      </c>
      <c r="N256" s="5"/>
      <c r="O256" s="9"/>
    </row>
    <row r="257" spans="1:15" ht="75">
      <c r="A257" s="8" t="s">
        <v>294</v>
      </c>
      <c r="B257" s="8">
        <v>1032462696</v>
      </c>
      <c r="C257" s="8">
        <v>5</v>
      </c>
      <c r="D257" s="8" t="s">
        <v>650</v>
      </c>
      <c r="E257" s="8">
        <v>249</v>
      </c>
      <c r="F257" s="10">
        <v>45793</v>
      </c>
      <c r="G257" s="11">
        <v>46022</v>
      </c>
      <c r="H257" s="5">
        <v>54075000</v>
      </c>
      <c r="I257" s="5">
        <v>7210000</v>
      </c>
      <c r="J257" s="5">
        <f>3605000+I257+I257</f>
        <v>18025000</v>
      </c>
      <c r="K257" s="6">
        <f t="shared" si="13"/>
        <v>36050000</v>
      </c>
      <c r="L257" s="1">
        <f t="shared" si="12"/>
        <v>0.33333333333333337</v>
      </c>
      <c r="M257" s="12">
        <v>0</v>
      </c>
      <c r="N257" s="5"/>
      <c r="O257" s="9"/>
    </row>
    <row r="258" spans="1:15" ht="30">
      <c r="A258" s="8" t="s">
        <v>716</v>
      </c>
      <c r="B258" s="8">
        <v>800028326</v>
      </c>
      <c r="C258" s="8">
        <v>1</v>
      </c>
      <c r="D258" s="8" t="s">
        <v>651</v>
      </c>
      <c r="E258" s="8">
        <v>250</v>
      </c>
      <c r="F258" s="8"/>
      <c r="G258" s="11">
        <v>46022</v>
      </c>
      <c r="H258" s="5">
        <v>73505900</v>
      </c>
      <c r="I258" s="5"/>
      <c r="J258" s="5">
        <v>0</v>
      </c>
      <c r="K258" s="6">
        <f t="shared" si="13"/>
        <v>73505900</v>
      </c>
      <c r="L258" s="1">
        <f t="shared" ref="L258:L283" si="14">1-(K258/H258)</f>
        <v>0</v>
      </c>
      <c r="M258" s="12">
        <v>0</v>
      </c>
      <c r="N258" s="5"/>
      <c r="O258" s="9"/>
    </row>
    <row r="259" spans="1:15" ht="90">
      <c r="A259" s="8" t="s">
        <v>120</v>
      </c>
      <c r="B259" s="8">
        <v>72260721</v>
      </c>
      <c r="C259" s="8">
        <v>9</v>
      </c>
      <c r="D259" s="8" t="s">
        <v>652</v>
      </c>
      <c r="E259" s="8">
        <v>251</v>
      </c>
      <c r="F259" s="10">
        <v>45786</v>
      </c>
      <c r="G259" s="11">
        <v>46022</v>
      </c>
      <c r="H259" s="5">
        <v>64787000</v>
      </c>
      <c r="I259" s="5">
        <v>8755000</v>
      </c>
      <c r="J259" s="5">
        <f>3502000+I259+I259</f>
        <v>21012000</v>
      </c>
      <c r="K259" s="6">
        <f t="shared" si="13"/>
        <v>43775000</v>
      </c>
      <c r="L259" s="1">
        <f t="shared" si="14"/>
        <v>0.32432432432432434</v>
      </c>
      <c r="M259" s="12">
        <v>0</v>
      </c>
      <c r="N259" s="5"/>
      <c r="O259" s="9"/>
    </row>
    <row r="260" spans="1:15" ht="60">
      <c r="A260" s="8" t="s">
        <v>717</v>
      </c>
      <c r="B260" s="8">
        <v>52497228</v>
      </c>
      <c r="C260" s="8">
        <v>4</v>
      </c>
      <c r="D260" s="8" t="s">
        <v>653</v>
      </c>
      <c r="E260" s="8">
        <v>252</v>
      </c>
      <c r="F260" s="10">
        <v>45797</v>
      </c>
      <c r="G260" s="11">
        <v>46022</v>
      </c>
      <c r="H260" s="5">
        <v>41732167</v>
      </c>
      <c r="I260" s="5">
        <v>5665000</v>
      </c>
      <c r="J260" s="5">
        <f>2077167+I260+I260</f>
        <v>13407167</v>
      </c>
      <c r="K260" s="6">
        <f t="shared" si="13"/>
        <v>28325000</v>
      </c>
      <c r="L260" s="1">
        <f t="shared" si="14"/>
        <v>0.32126697374713375</v>
      </c>
      <c r="M260" s="12">
        <v>0</v>
      </c>
      <c r="N260" s="5"/>
      <c r="O260" s="9"/>
    </row>
    <row r="261" spans="1:15" ht="60">
      <c r="A261" s="8" t="s">
        <v>122</v>
      </c>
      <c r="B261" s="8">
        <v>1098821595</v>
      </c>
      <c r="C261" s="8">
        <v>0</v>
      </c>
      <c r="D261" s="8" t="s">
        <v>654</v>
      </c>
      <c r="E261" s="8">
        <v>253</v>
      </c>
      <c r="F261" s="10">
        <v>45796</v>
      </c>
      <c r="G261" s="11">
        <v>46022</v>
      </c>
      <c r="H261" s="5">
        <v>38110000</v>
      </c>
      <c r="I261" s="5">
        <v>5150000</v>
      </c>
      <c r="J261" s="5">
        <f>2060000+I261+I261</f>
        <v>12360000</v>
      </c>
      <c r="K261" s="6">
        <f t="shared" si="13"/>
        <v>25750000</v>
      </c>
      <c r="L261" s="1">
        <f t="shared" si="14"/>
        <v>0.32432432432432434</v>
      </c>
      <c r="M261" s="12">
        <v>0</v>
      </c>
      <c r="N261" s="5"/>
      <c r="O261" s="9"/>
    </row>
    <row r="262" spans="1:15" ht="75">
      <c r="A262" s="8" t="s">
        <v>718</v>
      </c>
      <c r="B262" s="8">
        <v>1010118528</v>
      </c>
      <c r="C262" s="8">
        <v>2</v>
      </c>
      <c r="D262" s="8" t="s">
        <v>655</v>
      </c>
      <c r="E262" s="8">
        <v>254</v>
      </c>
      <c r="F262" s="10">
        <v>45800</v>
      </c>
      <c r="G262" s="11">
        <v>46022</v>
      </c>
      <c r="H262" s="5">
        <v>41165667</v>
      </c>
      <c r="I262" s="5">
        <v>5665000</v>
      </c>
      <c r="J262" s="5">
        <f>1510667+I262+I262</f>
        <v>12840667</v>
      </c>
      <c r="K262" s="6">
        <f t="shared" si="13"/>
        <v>28325000</v>
      </c>
      <c r="L262" s="1">
        <f t="shared" si="14"/>
        <v>0.31192661107616693</v>
      </c>
      <c r="M262" s="12">
        <v>0</v>
      </c>
      <c r="N262" s="5"/>
      <c r="O262" s="9"/>
    </row>
    <row r="263" spans="1:15" ht="120">
      <c r="A263" s="8" t="s">
        <v>719</v>
      </c>
      <c r="B263" s="8">
        <v>7572264</v>
      </c>
      <c r="C263" s="8">
        <v>7</v>
      </c>
      <c r="D263" s="8" t="s">
        <v>656</v>
      </c>
      <c r="E263" s="8">
        <v>255</v>
      </c>
      <c r="F263" s="10">
        <v>45799</v>
      </c>
      <c r="G263" s="11">
        <v>46022</v>
      </c>
      <c r="H263" s="5">
        <v>52633000</v>
      </c>
      <c r="I263" s="5">
        <v>7210000</v>
      </c>
      <c r="J263" s="5">
        <f>2163000+I263+I263</f>
        <v>16583000</v>
      </c>
      <c r="K263" s="6">
        <f t="shared" si="13"/>
        <v>36050000</v>
      </c>
      <c r="L263" s="1">
        <f t="shared" si="14"/>
        <v>0.31506849315068497</v>
      </c>
      <c r="M263" s="12">
        <v>0</v>
      </c>
      <c r="N263" s="5"/>
      <c r="O263" s="9"/>
    </row>
    <row r="264" spans="1:15" ht="105">
      <c r="A264" s="8" t="s">
        <v>720</v>
      </c>
      <c r="B264" s="8">
        <v>51882490</v>
      </c>
      <c r="C264" s="8">
        <v>5</v>
      </c>
      <c r="D264" s="8" t="s">
        <v>657</v>
      </c>
      <c r="E264" s="8">
        <v>256</v>
      </c>
      <c r="F264" s="10">
        <v>45800</v>
      </c>
      <c r="G264" s="11">
        <v>46022</v>
      </c>
      <c r="H264" s="5">
        <v>68422900</v>
      </c>
      <c r="I264" s="5">
        <v>9373000</v>
      </c>
      <c r="J264" s="5">
        <f>2499467+9373000+I264</f>
        <v>21245467</v>
      </c>
      <c r="K264" s="6">
        <f t="shared" si="13"/>
        <v>47177433</v>
      </c>
      <c r="L264" s="1">
        <f t="shared" si="14"/>
        <v>0.31050228797668622</v>
      </c>
      <c r="M264" s="12">
        <v>0</v>
      </c>
      <c r="N264" s="5"/>
      <c r="O264" s="9"/>
    </row>
    <row r="265" spans="1:15">
      <c r="A265" s="8" t="s">
        <v>721</v>
      </c>
      <c r="B265" s="8"/>
      <c r="C265" s="8"/>
      <c r="D265" s="8"/>
      <c r="E265" s="8">
        <v>257</v>
      </c>
      <c r="F265" s="8"/>
      <c r="G265" s="11"/>
      <c r="H265" s="5"/>
      <c r="I265" s="5"/>
      <c r="J265" s="5">
        <v>0</v>
      </c>
      <c r="K265" s="6">
        <f t="shared" si="13"/>
        <v>0</v>
      </c>
      <c r="L265" s="1" t="e">
        <f t="shared" si="14"/>
        <v>#DIV/0!</v>
      </c>
      <c r="M265" s="12">
        <v>0</v>
      </c>
      <c r="N265" s="5"/>
      <c r="O265" s="9"/>
    </row>
    <row r="266" spans="1:15" ht="105">
      <c r="A266" s="8" t="s">
        <v>722</v>
      </c>
      <c r="B266" s="8">
        <v>1121335640</v>
      </c>
      <c r="C266" s="8">
        <v>2</v>
      </c>
      <c r="D266" s="8" t="s">
        <v>658</v>
      </c>
      <c r="E266" s="8">
        <v>258</v>
      </c>
      <c r="F266" s="10">
        <v>45800</v>
      </c>
      <c r="G266" s="11">
        <v>46022</v>
      </c>
      <c r="H266" s="5">
        <v>33990000</v>
      </c>
      <c r="I266" s="5">
        <v>4635000</v>
      </c>
      <c r="J266" s="5">
        <f>1236000+4635000+I266</f>
        <v>10506000</v>
      </c>
      <c r="K266" s="6">
        <f t="shared" si="13"/>
        <v>23484000</v>
      </c>
      <c r="L266" s="1">
        <f t="shared" si="14"/>
        <v>0.30909090909090908</v>
      </c>
      <c r="M266" s="12">
        <v>0</v>
      </c>
      <c r="N266" s="5"/>
      <c r="O266" s="9"/>
    </row>
    <row r="267" spans="1:15" ht="135">
      <c r="A267" s="8" t="s">
        <v>723</v>
      </c>
      <c r="B267" s="8">
        <v>1119840777</v>
      </c>
      <c r="C267" s="8">
        <v>0</v>
      </c>
      <c r="D267" s="8" t="s">
        <v>659</v>
      </c>
      <c r="E267" s="8">
        <v>259</v>
      </c>
      <c r="F267" s="10">
        <v>45800</v>
      </c>
      <c r="G267" s="11">
        <v>46022</v>
      </c>
      <c r="H267" s="5">
        <v>33681000</v>
      </c>
      <c r="I267" s="5">
        <v>4635000</v>
      </c>
      <c r="J267" s="5">
        <f>1236000+4635000+I267</f>
        <v>10506000</v>
      </c>
      <c r="K267" s="6">
        <f t="shared" si="13"/>
        <v>23175000</v>
      </c>
      <c r="L267" s="1">
        <f t="shared" si="14"/>
        <v>0.31192660550458717</v>
      </c>
      <c r="M267" s="12">
        <v>0</v>
      </c>
      <c r="N267" s="5"/>
      <c r="O267" s="9"/>
    </row>
    <row r="268" spans="1:15" ht="60">
      <c r="A268" s="8" t="s">
        <v>724</v>
      </c>
      <c r="B268" s="8">
        <v>1066181626</v>
      </c>
      <c r="C268" s="8">
        <v>9</v>
      </c>
      <c r="D268" s="8" t="s">
        <v>660</v>
      </c>
      <c r="E268" s="8">
        <v>260</v>
      </c>
      <c r="F268" s="10">
        <v>45800</v>
      </c>
      <c r="G268" s="11">
        <v>45965</v>
      </c>
      <c r="H268" s="5">
        <v>44770666</v>
      </c>
      <c r="I268" s="5">
        <v>8240000</v>
      </c>
      <c r="J268" s="5">
        <f>2197333+8240000+I268</f>
        <v>18677333</v>
      </c>
      <c r="K268" s="6">
        <f t="shared" si="13"/>
        <v>26093333</v>
      </c>
      <c r="L268" s="1">
        <f t="shared" si="14"/>
        <v>0.41717791287715045</v>
      </c>
      <c r="M268" s="12">
        <v>0</v>
      </c>
      <c r="N268" s="5"/>
      <c r="O268" s="9"/>
    </row>
    <row r="269" spans="1:15" ht="75">
      <c r="A269" s="8" t="s">
        <v>725</v>
      </c>
      <c r="B269" s="8">
        <v>77013659</v>
      </c>
      <c r="C269" s="8">
        <v>1</v>
      </c>
      <c r="D269" s="8" t="s">
        <v>661</v>
      </c>
      <c r="E269" s="8">
        <v>261</v>
      </c>
      <c r="F269" s="10">
        <v>45800</v>
      </c>
      <c r="G269" s="11">
        <v>46022</v>
      </c>
      <c r="H269" s="5">
        <v>68110467</v>
      </c>
      <c r="I269" s="5">
        <v>9373000</v>
      </c>
      <c r="J269" s="5">
        <f>2499467+9373000+I269</f>
        <v>21245467</v>
      </c>
      <c r="K269" s="6">
        <f t="shared" si="13"/>
        <v>46865000</v>
      </c>
      <c r="L269" s="1">
        <f t="shared" si="14"/>
        <v>0.3119266088720255</v>
      </c>
      <c r="M269" s="12">
        <v>0</v>
      </c>
      <c r="N269" s="5"/>
      <c r="O269" s="9"/>
    </row>
    <row r="270" spans="1:15" ht="75">
      <c r="A270" s="8" t="s">
        <v>726</v>
      </c>
      <c r="B270" s="8">
        <v>52996334</v>
      </c>
      <c r="C270" s="8">
        <v>8</v>
      </c>
      <c r="D270" s="8" t="s">
        <v>662</v>
      </c>
      <c r="E270" s="8">
        <v>262</v>
      </c>
      <c r="F270" s="10">
        <v>45800</v>
      </c>
      <c r="G270" s="11">
        <v>46022</v>
      </c>
      <c r="H270" s="5">
        <v>59877333</v>
      </c>
      <c r="I270" s="5">
        <v>8240000</v>
      </c>
      <c r="J270" s="5">
        <f>2197333+8240000+I270</f>
        <v>18677333</v>
      </c>
      <c r="K270" s="6">
        <f t="shared" si="13"/>
        <v>41200000</v>
      </c>
      <c r="L270" s="1">
        <f t="shared" si="14"/>
        <v>0.311926601674126</v>
      </c>
      <c r="M270" s="12">
        <v>0</v>
      </c>
      <c r="N270" s="5"/>
      <c r="O270" s="9"/>
    </row>
    <row r="271" spans="1:15" ht="60">
      <c r="A271" s="8" t="s">
        <v>727</v>
      </c>
      <c r="B271" s="8">
        <v>1110462090</v>
      </c>
      <c r="C271" s="8">
        <v>5</v>
      </c>
      <c r="D271" s="8" t="s">
        <v>663</v>
      </c>
      <c r="E271" s="8">
        <v>263</v>
      </c>
      <c r="F271" s="10">
        <v>45800</v>
      </c>
      <c r="G271" s="11">
        <v>46022</v>
      </c>
      <c r="H271" s="5">
        <v>63619667</v>
      </c>
      <c r="I271" s="5">
        <v>8755000</v>
      </c>
      <c r="J271" s="5">
        <f>2334667+8755000+I271</f>
        <v>19844667</v>
      </c>
      <c r="K271" s="6">
        <f>H271-J271</f>
        <v>43775000</v>
      </c>
      <c r="L271" s="1">
        <f t="shared" si="14"/>
        <v>0.31192660910972703</v>
      </c>
      <c r="M271" s="12">
        <v>0</v>
      </c>
      <c r="N271" s="5"/>
      <c r="O271" s="9"/>
    </row>
    <row r="272" spans="1:15" ht="60">
      <c r="A272" s="8" t="s">
        <v>728</v>
      </c>
      <c r="B272" s="8">
        <v>1121334308</v>
      </c>
      <c r="C272" s="8">
        <v>7</v>
      </c>
      <c r="D272" s="8" t="s">
        <v>664</v>
      </c>
      <c r="E272" s="8">
        <v>264</v>
      </c>
      <c r="F272" s="10">
        <v>45804</v>
      </c>
      <c r="G272" s="11">
        <v>46022</v>
      </c>
      <c r="H272" s="5">
        <v>28654600</v>
      </c>
      <c r="I272" s="5">
        <v>4017000</v>
      </c>
      <c r="J272" s="5">
        <f>535600+4017000+I272</f>
        <v>8569600</v>
      </c>
      <c r="K272" s="6">
        <f>H272-J272</f>
        <v>20085000</v>
      </c>
      <c r="L272" s="1">
        <f t="shared" si="14"/>
        <v>0.2990654205607477</v>
      </c>
      <c r="M272" s="12">
        <v>0</v>
      </c>
      <c r="N272" s="5"/>
      <c r="O272" s="9"/>
    </row>
    <row r="273" spans="1:15" ht="60">
      <c r="A273" s="8" t="s">
        <v>909</v>
      </c>
      <c r="B273" s="63">
        <v>901277134</v>
      </c>
      <c r="C273" s="63">
        <v>6</v>
      </c>
      <c r="D273" s="8" t="s">
        <v>910</v>
      </c>
      <c r="E273" s="8">
        <v>265</v>
      </c>
      <c r="F273" s="10">
        <v>45813</v>
      </c>
      <c r="G273" s="11">
        <v>45842</v>
      </c>
      <c r="H273" s="5">
        <v>1576300</v>
      </c>
      <c r="I273" s="5"/>
      <c r="J273" s="5">
        <f>H273</f>
        <v>1576300</v>
      </c>
      <c r="K273" s="6">
        <f>H273-J273</f>
        <v>0</v>
      </c>
      <c r="L273" s="1">
        <f t="shared" si="14"/>
        <v>1</v>
      </c>
      <c r="M273" s="12">
        <v>0</v>
      </c>
      <c r="N273" s="5"/>
      <c r="O273" s="9"/>
    </row>
    <row r="274" spans="1:15" ht="36" customHeight="1">
      <c r="A274" s="8" t="s">
        <v>159</v>
      </c>
      <c r="B274" s="46">
        <v>1143425034</v>
      </c>
      <c r="C274" s="42">
        <v>5</v>
      </c>
      <c r="D274" s="42" t="s">
        <v>730</v>
      </c>
      <c r="E274" s="8">
        <v>266</v>
      </c>
      <c r="F274" s="47">
        <v>45804</v>
      </c>
      <c r="G274" s="47">
        <v>46022</v>
      </c>
      <c r="H274" s="48">
        <v>66860733</v>
      </c>
      <c r="I274" s="48">
        <v>9373000</v>
      </c>
      <c r="J274" s="58">
        <f>1249733+9373000+I274</f>
        <v>19995733</v>
      </c>
      <c r="K274" s="35">
        <f>H274-J274</f>
        <v>46865000</v>
      </c>
      <c r="L274" s="1">
        <f t="shared" si="14"/>
        <v>0.29906541706624723</v>
      </c>
      <c r="M274" s="12">
        <v>0</v>
      </c>
      <c r="N274" s="5"/>
      <c r="O274" s="9"/>
    </row>
    <row r="275" spans="1:15" ht="46.5" customHeight="1">
      <c r="A275" s="8" t="s">
        <v>489</v>
      </c>
      <c r="B275" s="49">
        <v>63514972</v>
      </c>
      <c r="C275" s="42">
        <v>1</v>
      </c>
      <c r="D275" s="42" t="s">
        <v>731</v>
      </c>
      <c r="E275" s="8">
        <v>267</v>
      </c>
      <c r="F275" s="50">
        <v>45804</v>
      </c>
      <c r="G275" s="50">
        <v>46022</v>
      </c>
      <c r="H275" s="48">
        <v>47757667</v>
      </c>
      <c r="I275" s="48">
        <v>6695000</v>
      </c>
      <c r="J275" s="58">
        <f>892667+6695000+I275+I275</f>
        <v>20977667</v>
      </c>
      <c r="K275" s="6">
        <f t="shared" si="13"/>
        <v>26780000</v>
      </c>
      <c r="L275" s="1">
        <f t="shared" si="14"/>
        <v>0.43925234036243854</v>
      </c>
      <c r="M275" s="12">
        <v>0</v>
      </c>
      <c r="N275" s="5"/>
      <c r="O275" s="9"/>
    </row>
    <row r="276" spans="1:15" ht="46.5" customHeight="1">
      <c r="A276" s="8" t="s">
        <v>805</v>
      </c>
      <c r="B276" s="59">
        <v>16935127</v>
      </c>
      <c r="C276" s="42">
        <v>8</v>
      </c>
      <c r="D276" s="42" t="s">
        <v>806</v>
      </c>
      <c r="E276" s="8">
        <v>268</v>
      </c>
      <c r="F276" s="28">
        <v>45805</v>
      </c>
      <c r="G276" s="28">
        <v>46022</v>
      </c>
      <c r="H276" s="48">
        <v>36565000</v>
      </c>
      <c r="I276" s="48">
        <v>5150000</v>
      </c>
      <c r="J276" s="58">
        <f>515000+5150000</f>
        <v>5665000</v>
      </c>
      <c r="K276" s="35">
        <f>H276-J276</f>
        <v>30900000</v>
      </c>
      <c r="L276" s="1">
        <f t="shared" si="14"/>
        <v>0.15492957746478875</v>
      </c>
      <c r="M276" s="12">
        <v>0</v>
      </c>
      <c r="N276" s="5"/>
      <c r="O276" s="9"/>
    </row>
    <row r="277" spans="1:15" ht="46.5" customHeight="1">
      <c r="A277" s="8" t="s">
        <v>803</v>
      </c>
      <c r="B277" s="55">
        <v>39578965</v>
      </c>
      <c r="C277" s="42">
        <v>5</v>
      </c>
      <c r="D277" s="42" t="s">
        <v>804</v>
      </c>
      <c r="E277" s="8">
        <v>269</v>
      </c>
      <c r="F277" s="28">
        <v>45804</v>
      </c>
      <c r="G277" s="28">
        <v>46017</v>
      </c>
      <c r="H277" s="48">
        <v>57680000</v>
      </c>
      <c r="I277" s="48">
        <v>8240000</v>
      </c>
      <c r="J277" s="58">
        <f>1098667+8240000+I277</f>
        <v>17578667</v>
      </c>
      <c r="K277" s="6">
        <f>H277-J277</f>
        <v>40101333</v>
      </c>
      <c r="L277" s="1">
        <f>1-(K277/H277)</f>
        <v>0.30476191054091539</v>
      </c>
      <c r="M277" s="12">
        <v>0</v>
      </c>
      <c r="N277" s="5"/>
      <c r="O277" s="9"/>
    </row>
    <row r="278" spans="1:15" ht="90">
      <c r="A278" s="42" t="s">
        <v>733</v>
      </c>
      <c r="B278" s="42">
        <v>32580133</v>
      </c>
      <c r="C278" s="42">
        <v>5</v>
      </c>
      <c r="D278" s="42" t="s">
        <v>732</v>
      </c>
      <c r="E278" s="8">
        <v>270</v>
      </c>
      <c r="F278" s="28">
        <v>45805</v>
      </c>
      <c r="G278" s="28">
        <v>46022</v>
      </c>
      <c r="H278" s="48">
        <v>43878000</v>
      </c>
      <c r="I278" s="48">
        <v>6180000</v>
      </c>
      <c r="J278" s="58">
        <f>6180000+I278+I278</f>
        <v>18540000</v>
      </c>
      <c r="K278" s="6">
        <f t="shared" si="13"/>
        <v>25338000</v>
      </c>
      <c r="L278" s="1">
        <f t="shared" si="14"/>
        <v>0.42253521126760563</v>
      </c>
      <c r="M278" s="12">
        <v>0</v>
      </c>
      <c r="N278" s="5"/>
      <c r="O278" s="9"/>
    </row>
    <row r="279" spans="1:15" ht="75">
      <c r="A279" s="42" t="s">
        <v>797</v>
      </c>
      <c r="B279" s="42">
        <v>1063135376</v>
      </c>
      <c r="C279" s="42">
        <v>4</v>
      </c>
      <c r="D279" s="42" t="s">
        <v>800</v>
      </c>
      <c r="E279" s="8">
        <v>271</v>
      </c>
      <c r="F279" s="28">
        <v>45806</v>
      </c>
      <c r="G279" s="28">
        <v>46021</v>
      </c>
      <c r="H279" s="48">
        <v>61285000</v>
      </c>
      <c r="I279" s="48">
        <v>8755000</v>
      </c>
      <c r="J279" s="58">
        <f>8755000+I279</f>
        <v>17510000</v>
      </c>
      <c r="K279" s="6">
        <f>H279-J279</f>
        <v>43775000</v>
      </c>
      <c r="L279" s="1">
        <f>1-(K279/H279)</f>
        <v>0.2857142857142857</v>
      </c>
      <c r="M279" s="12">
        <v>0</v>
      </c>
      <c r="N279" s="5"/>
      <c r="O279" s="9"/>
    </row>
    <row r="280" spans="1:15" ht="75">
      <c r="A280" s="42" t="s">
        <v>798</v>
      </c>
      <c r="B280" s="42">
        <v>1022432970</v>
      </c>
      <c r="C280" s="42">
        <v>4</v>
      </c>
      <c r="D280" s="42" t="s">
        <v>801</v>
      </c>
      <c r="E280" s="8">
        <v>272</v>
      </c>
      <c r="F280" s="28">
        <v>45806</v>
      </c>
      <c r="G280" s="28">
        <v>46022</v>
      </c>
      <c r="H280" s="48">
        <v>26203200</v>
      </c>
      <c r="I280" s="48">
        <v>3708000</v>
      </c>
      <c r="J280" s="58">
        <f>3708000+247200+I280</f>
        <v>7663200</v>
      </c>
      <c r="K280" s="6">
        <f>H280-J280</f>
        <v>18540000</v>
      </c>
      <c r="L280" s="1">
        <f>1-(K280/H280)</f>
        <v>0.29245283018867929</v>
      </c>
      <c r="M280" s="12">
        <v>0</v>
      </c>
      <c r="N280" s="5"/>
      <c r="O280" s="9"/>
    </row>
    <row r="281" spans="1:15" ht="75">
      <c r="A281" s="42" t="s">
        <v>799</v>
      </c>
      <c r="B281" s="42">
        <v>19476707</v>
      </c>
      <c r="C281" s="42">
        <v>0</v>
      </c>
      <c r="D281" s="42" t="s">
        <v>802</v>
      </c>
      <c r="E281" s="8">
        <v>273</v>
      </c>
      <c r="F281" s="28">
        <v>45807</v>
      </c>
      <c r="G281" s="28">
        <v>46022</v>
      </c>
      <c r="H281" s="48">
        <v>61868667</v>
      </c>
      <c r="I281" s="48">
        <v>8755000</v>
      </c>
      <c r="J281" s="58">
        <f>291833+I281</f>
        <v>9046833</v>
      </c>
      <c r="K281" s="6">
        <f>H281-J281</f>
        <v>52821834</v>
      </c>
      <c r="L281" s="1">
        <f>1-(K281/H281)</f>
        <v>0.14622640891875038</v>
      </c>
      <c r="M281" s="12">
        <v>0</v>
      </c>
      <c r="N281" s="5"/>
      <c r="O281" s="9"/>
    </row>
    <row r="282" spans="1:15" ht="60">
      <c r="A282" s="42" t="s">
        <v>135</v>
      </c>
      <c r="B282" s="42">
        <v>1024600527</v>
      </c>
      <c r="C282" s="42">
        <v>2</v>
      </c>
      <c r="D282" s="42" t="s">
        <v>734</v>
      </c>
      <c r="E282" s="8">
        <v>274</v>
      </c>
      <c r="F282" s="28">
        <v>45806</v>
      </c>
      <c r="G282" s="28">
        <v>46022</v>
      </c>
      <c r="H282" s="48">
        <v>23320000</v>
      </c>
      <c r="I282" s="48">
        <v>3300000</v>
      </c>
      <c r="J282" s="58">
        <f>220000+3300000+I282</f>
        <v>6820000</v>
      </c>
      <c r="K282" s="6">
        <f t="shared" si="13"/>
        <v>16500000</v>
      </c>
      <c r="L282" s="1">
        <f t="shared" si="14"/>
        <v>0.29245283018867929</v>
      </c>
      <c r="M282" s="12">
        <v>0</v>
      </c>
      <c r="N282" s="5"/>
      <c r="O282" s="9"/>
    </row>
    <row r="283" spans="1:15" ht="60">
      <c r="A283" s="42" t="s">
        <v>113</v>
      </c>
      <c r="B283" s="42">
        <v>1030700108</v>
      </c>
      <c r="C283" s="42">
        <v>0</v>
      </c>
      <c r="D283" s="42" t="s">
        <v>735</v>
      </c>
      <c r="E283" s="8">
        <v>275</v>
      </c>
      <c r="F283" s="28">
        <v>45806</v>
      </c>
      <c r="G283" s="28">
        <v>46022</v>
      </c>
      <c r="H283" s="48">
        <v>23320000</v>
      </c>
      <c r="I283" s="48">
        <v>3300000</v>
      </c>
      <c r="J283" s="58">
        <f>3300000+I283</f>
        <v>6600000</v>
      </c>
      <c r="K283" s="35">
        <f>H283-J283</f>
        <v>16720000</v>
      </c>
      <c r="L283" s="1">
        <f t="shared" si="14"/>
        <v>0.28301886792452835</v>
      </c>
      <c r="M283" s="12">
        <v>0</v>
      </c>
      <c r="N283" s="5"/>
      <c r="O283" s="9"/>
    </row>
    <row r="284" spans="1:15" ht="60">
      <c r="A284" s="8" t="s">
        <v>125</v>
      </c>
      <c r="B284" s="8">
        <v>1100950750</v>
      </c>
      <c r="C284" s="8">
        <v>5</v>
      </c>
      <c r="D284" s="8" t="s">
        <v>742</v>
      </c>
      <c r="E284" s="8">
        <v>276</v>
      </c>
      <c r="F284" s="10">
        <v>45811</v>
      </c>
      <c r="G284" s="10">
        <v>46022</v>
      </c>
      <c r="H284" s="51">
        <v>53560000</v>
      </c>
      <c r="I284" s="51">
        <v>7725000</v>
      </c>
      <c r="J284" s="58">
        <f>7210000+I284</f>
        <v>14935000</v>
      </c>
      <c r="K284" s="53">
        <f t="shared" ref="K284:K347" si="15">H284-J284</f>
        <v>38625000</v>
      </c>
      <c r="L284" s="54">
        <f t="shared" ref="L284:L347" si="16">1-(K284/H284)</f>
        <v>0.27884615384615385</v>
      </c>
      <c r="M284" s="12">
        <v>0</v>
      </c>
      <c r="N284" s="52"/>
      <c r="O284" s="9"/>
    </row>
    <row r="285" spans="1:15" ht="75">
      <c r="A285" s="8" t="s">
        <v>774</v>
      </c>
      <c r="B285" s="8">
        <v>1031120873</v>
      </c>
      <c r="C285" s="8">
        <v>1</v>
      </c>
      <c r="D285" s="8" t="s">
        <v>743</v>
      </c>
      <c r="E285" s="8">
        <v>277</v>
      </c>
      <c r="F285" s="10">
        <v>45811</v>
      </c>
      <c r="G285" s="10">
        <v>46022</v>
      </c>
      <c r="H285" s="51">
        <v>13211467</v>
      </c>
      <c r="I285" s="51">
        <v>1905500</v>
      </c>
      <c r="J285" s="58">
        <f>1778467+I285</f>
        <v>3683967</v>
      </c>
      <c r="K285" s="53">
        <f t="shared" si="15"/>
        <v>9527500</v>
      </c>
      <c r="L285" s="54">
        <f t="shared" si="16"/>
        <v>0.27884617204130324</v>
      </c>
      <c r="M285" s="12">
        <v>0</v>
      </c>
      <c r="N285" s="52"/>
      <c r="O285" s="9"/>
    </row>
    <row r="286" spans="1:15" ht="90">
      <c r="A286" s="8" t="s">
        <v>775</v>
      </c>
      <c r="B286" s="8">
        <v>79973698</v>
      </c>
      <c r="C286" s="8">
        <v>2</v>
      </c>
      <c r="D286" s="8" t="s">
        <v>744</v>
      </c>
      <c r="E286" s="8">
        <v>278</v>
      </c>
      <c r="F286" s="10">
        <v>45811</v>
      </c>
      <c r="G286" s="10">
        <v>46022</v>
      </c>
      <c r="H286" s="51">
        <v>49989333</v>
      </c>
      <c r="I286" s="51">
        <v>7210000</v>
      </c>
      <c r="J286" s="58">
        <f>6729333+I286</f>
        <v>13939333</v>
      </c>
      <c r="K286" s="53">
        <f t="shared" si="15"/>
        <v>36050000</v>
      </c>
      <c r="L286" s="54">
        <f t="shared" si="16"/>
        <v>0.27884614903743565</v>
      </c>
      <c r="M286" s="12">
        <v>0</v>
      </c>
      <c r="N286" s="52"/>
      <c r="O286" s="9"/>
    </row>
    <row r="287" spans="1:15" ht="75">
      <c r="A287" s="8" t="s">
        <v>776</v>
      </c>
      <c r="B287" s="8">
        <v>79784692</v>
      </c>
      <c r="C287" s="8">
        <v>8</v>
      </c>
      <c r="D287" s="8" t="s">
        <v>745</v>
      </c>
      <c r="E287" s="8">
        <v>279</v>
      </c>
      <c r="F287" s="10">
        <v>45811</v>
      </c>
      <c r="G287" s="10">
        <v>46022</v>
      </c>
      <c r="H287" s="51">
        <v>46418667</v>
      </c>
      <c r="I287" s="51">
        <v>6695000</v>
      </c>
      <c r="J287" s="5">
        <v>6248667</v>
      </c>
      <c r="K287" s="53">
        <f t="shared" si="15"/>
        <v>40170000</v>
      </c>
      <c r="L287" s="54">
        <f t="shared" si="16"/>
        <v>0.13461539082972807</v>
      </c>
      <c r="M287" s="12">
        <v>0</v>
      </c>
      <c r="N287" s="52"/>
      <c r="O287" s="9"/>
    </row>
    <row r="288" spans="1:15" ht="75">
      <c r="A288" s="8" t="s">
        <v>777</v>
      </c>
      <c r="B288" s="8">
        <v>1030656140</v>
      </c>
      <c r="C288" s="8">
        <v>9</v>
      </c>
      <c r="D288" s="8" t="s">
        <v>746</v>
      </c>
      <c r="E288" s="8">
        <v>280</v>
      </c>
      <c r="F288" s="10">
        <v>45811</v>
      </c>
      <c r="G288" s="10">
        <v>46022</v>
      </c>
      <c r="H288" s="51">
        <v>46418667</v>
      </c>
      <c r="I288" s="51">
        <v>6695000</v>
      </c>
      <c r="J288" s="58">
        <f>6248667+I288</f>
        <v>12943667</v>
      </c>
      <c r="K288" s="53">
        <f t="shared" si="15"/>
        <v>33475000</v>
      </c>
      <c r="L288" s="54">
        <f t="shared" si="16"/>
        <v>0.27884615902477339</v>
      </c>
      <c r="M288" s="12">
        <v>0</v>
      </c>
      <c r="N288" s="52"/>
      <c r="O288" s="9"/>
    </row>
    <row r="289" spans="1:15" ht="90">
      <c r="A289" s="8" t="s">
        <v>778</v>
      </c>
      <c r="B289" s="8">
        <v>79590490</v>
      </c>
      <c r="C289" s="8">
        <v>3</v>
      </c>
      <c r="D289" s="8" t="s">
        <v>747</v>
      </c>
      <c r="E289" s="8">
        <v>281</v>
      </c>
      <c r="F289" s="10">
        <v>45811</v>
      </c>
      <c r="G289" s="10">
        <v>46022</v>
      </c>
      <c r="H289" s="51">
        <v>46418667</v>
      </c>
      <c r="I289" s="51">
        <v>6695000</v>
      </c>
      <c r="J289" s="58">
        <f>624866700+I289</f>
        <v>631561700</v>
      </c>
      <c r="K289" s="53">
        <f t="shared" si="15"/>
        <v>-585143033</v>
      </c>
      <c r="L289" s="54">
        <f t="shared" si="16"/>
        <v>13.60576985116785</v>
      </c>
      <c r="M289" s="12">
        <v>0</v>
      </c>
      <c r="N289" s="52"/>
      <c r="O289" s="9"/>
    </row>
    <row r="290" spans="1:15" ht="60">
      <c r="A290" s="8" t="s">
        <v>779</v>
      </c>
      <c r="B290" s="8">
        <v>80749954</v>
      </c>
      <c r="C290" s="8">
        <v>8</v>
      </c>
      <c r="D290" s="8" t="s">
        <v>748</v>
      </c>
      <c r="E290" s="8">
        <v>282</v>
      </c>
      <c r="F290" s="10">
        <v>45811</v>
      </c>
      <c r="G290" s="10">
        <v>46022</v>
      </c>
      <c r="H290" s="51">
        <v>60701333</v>
      </c>
      <c r="I290" s="51">
        <v>8755000</v>
      </c>
      <c r="J290" s="58">
        <f>8171333+I290</f>
        <v>16926333</v>
      </c>
      <c r="K290" s="53">
        <f t="shared" si="15"/>
        <v>43775000</v>
      </c>
      <c r="L290" s="54">
        <f t="shared" si="16"/>
        <v>0.27884614988603296</v>
      </c>
      <c r="M290" s="12">
        <v>0</v>
      </c>
      <c r="N290" s="52"/>
      <c r="O290" s="9"/>
    </row>
    <row r="291" spans="1:15" ht="45">
      <c r="A291" s="8" t="s">
        <v>780</v>
      </c>
      <c r="B291" s="8">
        <v>830101111</v>
      </c>
      <c r="C291" s="8">
        <v>4</v>
      </c>
      <c r="D291" s="8" t="s">
        <v>749</v>
      </c>
      <c r="E291" s="8">
        <v>283</v>
      </c>
      <c r="F291" s="10">
        <v>45814</v>
      </c>
      <c r="G291" s="10">
        <v>46022</v>
      </c>
      <c r="H291" s="51">
        <v>272422067</v>
      </c>
      <c r="I291" s="8"/>
      <c r="J291" s="5">
        <f>5743722.6</f>
        <v>5743722.5999999996</v>
      </c>
      <c r="K291" s="53">
        <f t="shared" si="15"/>
        <v>266678344.40000001</v>
      </c>
      <c r="L291" s="54">
        <f t="shared" si="16"/>
        <v>2.1083910944703299E-2</v>
      </c>
      <c r="M291" s="12">
        <v>0</v>
      </c>
      <c r="N291" s="52"/>
      <c r="O291" s="9"/>
    </row>
    <row r="292" spans="1:15" ht="75">
      <c r="A292" s="8" t="s">
        <v>781</v>
      </c>
      <c r="B292" s="8">
        <v>52816943</v>
      </c>
      <c r="C292" s="8">
        <v>2</v>
      </c>
      <c r="D292" s="8" t="s">
        <v>750</v>
      </c>
      <c r="E292" s="8">
        <v>284</v>
      </c>
      <c r="F292" s="10">
        <v>45814</v>
      </c>
      <c r="G292" s="10">
        <v>46022</v>
      </c>
      <c r="H292" s="51">
        <v>56306667</v>
      </c>
      <c r="I292" s="51">
        <v>8240000</v>
      </c>
      <c r="J292" s="58">
        <f>6866667+I292</f>
        <v>15106667</v>
      </c>
      <c r="K292" s="53">
        <f t="shared" si="15"/>
        <v>41200000</v>
      </c>
      <c r="L292" s="54">
        <f t="shared" si="16"/>
        <v>0.26829268725850886</v>
      </c>
      <c r="M292" s="12">
        <v>0</v>
      </c>
      <c r="N292" s="52"/>
      <c r="O292" s="9"/>
    </row>
    <row r="293" spans="1:15" ht="105">
      <c r="A293" s="8" t="s">
        <v>325</v>
      </c>
      <c r="B293" s="8">
        <v>1049640069</v>
      </c>
      <c r="C293" s="8">
        <v>2</v>
      </c>
      <c r="D293" s="8" t="s">
        <v>751</v>
      </c>
      <c r="E293" s="8">
        <v>285</v>
      </c>
      <c r="F293" s="10">
        <v>45814</v>
      </c>
      <c r="G293" s="10">
        <v>46022</v>
      </c>
      <c r="H293" s="51">
        <v>49268333</v>
      </c>
      <c r="I293" s="51">
        <v>7210000</v>
      </c>
      <c r="J293" s="58">
        <f>6008333+I293</f>
        <v>13218333</v>
      </c>
      <c r="K293" s="53">
        <f t="shared" si="15"/>
        <v>36050000</v>
      </c>
      <c r="L293" s="54">
        <f t="shared" si="16"/>
        <v>0.26829267797633827</v>
      </c>
      <c r="M293" s="12">
        <v>0</v>
      </c>
      <c r="N293" s="52"/>
      <c r="O293" s="9"/>
    </row>
    <row r="294" spans="1:15" ht="105">
      <c r="A294" s="8" t="s">
        <v>324</v>
      </c>
      <c r="B294" s="8">
        <v>93356952</v>
      </c>
      <c r="C294" s="8">
        <v>3</v>
      </c>
      <c r="D294" s="8" t="s">
        <v>752</v>
      </c>
      <c r="E294" s="8">
        <v>286</v>
      </c>
      <c r="F294" s="10">
        <v>45814</v>
      </c>
      <c r="G294" s="10">
        <v>46022</v>
      </c>
      <c r="H294" s="51">
        <v>49268333</v>
      </c>
      <c r="I294" s="51">
        <v>7210000</v>
      </c>
      <c r="J294" s="58">
        <f>6008333+I294</f>
        <v>13218333</v>
      </c>
      <c r="K294" s="53">
        <f t="shared" si="15"/>
        <v>36050000</v>
      </c>
      <c r="L294" s="54">
        <f t="shared" si="16"/>
        <v>0.26829267797633827</v>
      </c>
      <c r="M294" s="12">
        <v>0</v>
      </c>
      <c r="N294" s="52"/>
      <c r="O294" s="9"/>
    </row>
    <row r="295" spans="1:15" ht="60">
      <c r="A295" s="8" t="s">
        <v>158</v>
      </c>
      <c r="B295" s="8">
        <v>7170018</v>
      </c>
      <c r="C295" s="8">
        <v>6</v>
      </c>
      <c r="D295" s="8" t="s">
        <v>753</v>
      </c>
      <c r="E295" s="8">
        <v>287</v>
      </c>
      <c r="F295" s="10">
        <v>45818</v>
      </c>
      <c r="G295" s="10">
        <v>46022</v>
      </c>
      <c r="H295" s="51">
        <v>62799100</v>
      </c>
      <c r="I295" s="51">
        <v>9373000</v>
      </c>
      <c r="J295" s="58">
        <f>6561100+I295</f>
        <v>15934100</v>
      </c>
      <c r="K295" s="53">
        <f t="shared" si="15"/>
        <v>46865000</v>
      </c>
      <c r="L295" s="54">
        <f t="shared" si="16"/>
        <v>0.25373134328358204</v>
      </c>
      <c r="M295" s="12">
        <v>0</v>
      </c>
      <c r="N295" s="52"/>
      <c r="O295" s="9"/>
    </row>
    <row r="296" spans="1:15" ht="75">
      <c r="A296" s="8" t="s">
        <v>782</v>
      </c>
      <c r="B296" s="8">
        <v>1121337728</v>
      </c>
      <c r="C296" s="8">
        <v>0</v>
      </c>
      <c r="D296" s="8" t="s">
        <v>754</v>
      </c>
      <c r="E296" s="8">
        <v>288</v>
      </c>
      <c r="F296" s="10">
        <v>45818</v>
      </c>
      <c r="G296" s="10">
        <v>46022</v>
      </c>
      <c r="H296" s="51">
        <v>26913900</v>
      </c>
      <c r="I296" s="51">
        <v>4017000</v>
      </c>
      <c r="J296" s="5">
        <v>0</v>
      </c>
      <c r="K296" s="53">
        <f t="shared" si="15"/>
        <v>26913900</v>
      </c>
      <c r="L296" s="54">
        <f t="shared" si="16"/>
        <v>0</v>
      </c>
      <c r="M296" s="12">
        <v>0</v>
      </c>
      <c r="N296" s="52"/>
      <c r="O296" s="9"/>
    </row>
    <row r="297" spans="1:15" ht="50.25" customHeight="1">
      <c r="A297" s="8" t="s">
        <v>783</v>
      </c>
      <c r="B297" s="8">
        <v>8888679</v>
      </c>
      <c r="C297" s="8">
        <v>1</v>
      </c>
      <c r="D297" s="8" t="s">
        <v>755</v>
      </c>
      <c r="E297" s="8">
        <v>289</v>
      </c>
      <c r="F297" s="10">
        <v>45827</v>
      </c>
      <c r="G297" s="10">
        <v>45856</v>
      </c>
      <c r="H297" s="51">
        <v>39858000</v>
      </c>
      <c r="I297" s="8"/>
      <c r="J297" s="5">
        <v>0</v>
      </c>
      <c r="K297" s="53">
        <f t="shared" si="15"/>
        <v>39858000</v>
      </c>
      <c r="L297" s="54">
        <f t="shared" si="16"/>
        <v>0</v>
      </c>
      <c r="M297" s="12">
        <v>0</v>
      </c>
      <c r="N297" s="52"/>
      <c r="O297" s="9"/>
    </row>
    <row r="298" spans="1:15" ht="90">
      <c r="A298" s="8" t="s">
        <v>784</v>
      </c>
      <c r="B298" s="8">
        <v>1089244839</v>
      </c>
      <c r="C298" s="8">
        <v>4</v>
      </c>
      <c r="D298" s="8" t="s">
        <v>756</v>
      </c>
      <c r="E298" s="8">
        <v>290</v>
      </c>
      <c r="F298" s="10">
        <v>45819</v>
      </c>
      <c r="G298" s="10">
        <v>46022</v>
      </c>
      <c r="H298" s="51">
        <v>44856500</v>
      </c>
      <c r="I298" s="51">
        <v>6695000</v>
      </c>
      <c r="J298" s="58">
        <f>4463333+I298</f>
        <v>11158333</v>
      </c>
      <c r="K298" s="53">
        <f t="shared" si="15"/>
        <v>33698167</v>
      </c>
      <c r="L298" s="54">
        <f t="shared" si="16"/>
        <v>0.24875621147436822</v>
      </c>
      <c r="M298" s="12">
        <v>0</v>
      </c>
      <c r="N298" s="52"/>
      <c r="O298" s="9"/>
    </row>
    <row r="299" spans="1:15" ht="45">
      <c r="A299" s="8" t="s">
        <v>785</v>
      </c>
      <c r="B299" s="8">
        <v>1121331993</v>
      </c>
      <c r="C299" s="8">
        <v>9</v>
      </c>
      <c r="D299" s="8" t="s">
        <v>757</v>
      </c>
      <c r="E299" s="8">
        <v>291</v>
      </c>
      <c r="F299" s="10">
        <v>45820</v>
      </c>
      <c r="G299" s="10">
        <v>46022</v>
      </c>
      <c r="H299" s="51">
        <v>37577833</v>
      </c>
      <c r="I299" s="51">
        <v>5665000</v>
      </c>
      <c r="J299" s="58">
        <f>3587833+I299</f>
        <v>9252833</v>
      </c>
      <c r="K299" s="53">
        <f t="shared" si="15"/>
        <v>28325000</v>
      </c>
      <c r="L299" s="54">
        <f t="shared" si="16"/>
        <v>0.24623114909260468</v>
      </c>
      <c r="M299" s="12">
        <v>0</v>
      </c>
      <c r="N299" s="52"/>
      <c r="O299" s="9"/>
    </row>
    <row r="300" spans="1:15" ht="75">
      <c r="A300" s="8" t="s">
        <v>786</v>
      </c>
      <c r="B300" s="8">
        <v>1010239158</v>
      </c>
      <c r="C300" s="8">
        <v>1</v>
      </c>
      <c r="D300" s="8" t="s">
        <v>758</v>
      </c>
      <c r="E300" s="8">
        <v>292</v>
      </c>
      <c r="F300" s="10">
        <v>45824</v>
      </c>
      <c r="G300" s="10">
        <v>46022</v>
      </c>
      <c r="H300" s="51">
        <v>24596400</v>
      </c>
      <c r="I300" s="51">
        <v>3708000</v>
      </c>
      <c r="J300" s="58">
        <f>1854000+I300</f>
        <v>5562000</v>
      </c>
      <c r="K300" s="53">
        <f t="shared" si="15"/>
        <v>19034400</v>
      </c>
      <c r="L300" s="54">
        <f t="shared" si="16"/>
        <v>0.22613065326633164</v>
      </c>
      <c r="M300" s="12">
        <v>0</v>
      </c>
      <c r="N300" s="52"/>
      <c r="O300" s="9"/>
    </row>
    <row r="301" spans="1:15" ht="60">
      <c r="A301" s="8" t="s">
        <v>787</v>
      </c>
      <c r="B301" s="8">
        <v>51908699</v>
      </c>
      <c r="C301" s="8">
        <v>1</v>
      </c>
      <c r="D301" s="8" t="s">
        <v>759</v>
      </c>
      <c r="E301" s="8">
        <v>293</v>
      </c>
      <c r="F301" s="10">
        <v>45824</v>
      </c>
      <c r="G301" s="10">
        <v>45912</v>
      </c>
      <c r="H301" s="51">
        <v>20085000</v>
      </c>
      <c r="I301" s="51">
        <v>6695000</v>
      </c>
      <c r="K301" s="53">
        <f t="shared" si="15"/>
        <v>20085000</v>
      </c>
      <c r="L301" s="54">
        <f t="shared" si="16"/>
        <v>0</v>
      </c>
      <c r="M301" s="12">
        <v>0</v>
      </c>
      <c r="N301" s="52"/>
      <c r="O301" s="9"/>
    </row>
    <row r="302" spans="1:15" ht="75">
      <c r="A302" s="8" t="s">
        <v>285</v>
      </c>
      <c r="B302" s="8">
        <v>52052153</v>
      </c>
      <c r="C302" s="8">
        <v>0</v>
      </c>
      <c r="D302" s="8" t="s">
        <v>760</v>
      </c>
      <c r="E302" s="8">
        <v>294</v>
      </c>
      <c r="F302" s="10">
        <v>45824</v>
      </c>
      <c r="G302" s="10">
        <v>46022</v>
      </c>
      <c r="H302" s="51">
        <v>36822500</v>
      </c>
      <c r="I302" s="51">
        <v>5665000</v>
      </c>
      <c r="J302" s="58">
        <f>2832500+I302</f>
        <v>8497500</v>
      </c>
      <c r="K302" s="53">
        <f t="shared" si="15"/>
        <v>28325000</v>
      </c>
      <c r="L302" s="54">
        <f t="shared" si="16"/>
        <v>0.23076923076923073</v>
      </c>
      <c r="M302" s="12">
        <v>0</v>
      </c>
      <c r="N302" s="52"/>
      <c r="O302" s="9"/>
    </row>
    <row r="303" spans="1:15" ht="45">
      <c r="A303" s="8" t="s">
        <v>144</v>
      </c>
      <c r="B303" s="8">
        <v>1022374419</v>
      </c>
      <c r="C303" s="8">
        <v>7</v>
      </c>
      <c r="D303" s="8" t="s">
        <v>761</v>
      </c>
      <c r="E303" s="8">
        <v>295</v>
      </c>
      <c r="F303" s="10">
        <v>45821</v>
      </c>
      <c r="G303" s="10">
        <v>46022</v>
      </c>
      <c r="H303" s="51">
        <v>57783000</v>
      </c>
      <c r="I303" s="51">
        <v>8755000</v>
      </c>
      <c r="J303" s="58">
        <f>5253000+I303</f>
        <v>14008000</v>
      </c>
      <c r="K303" s="53">
        <f t="shared" si="15"/>
        <v>43775000</v>
      </c>
      <c r="L303" s="54">
        <f t="shared" si="16"/>
        <v>0.24242424242424243</v>
      </c>
      <c r="M303" s="12">
        <v>0</v>
      </c>
      <c r="N303" s="52"/>
      <c r="O303" s="9"/>
    </row>
    <row r="304" spans="1:15" ht="90">
      <c r="A304" s="8" t="s">
        <v>788</v>
      </c>
      <c r="B304" s="8">
        <v>1010236283</v>
      </c>
      <c r="C304" s="8">
        <v>9</v>
      </c>
      <c r="D304" s="8" t="s">
        <v>762</v>
      </c>
      <c r="E304" s="8">
        <v>296</v>
      </c>
      <c r="F304" s="10">
        <v>45825</v>
      </c>
      <c r="G304" s="10">
        <v>46022</v>
      </c>
      <c r="H304" s="51">
        <v>50212500</v>
      </c>
      <c r="I304" s="51">
        <v>7725000</v>
      </c>
      <c r="J304" s="58">
        <f>3605000+I304</f>
        <v>11330000</v>
      </c>
      <c r="K304" s="53">
        <f t="shared" si="15"/>
        <v>38882500</v>
      </c>
      <c r="L304" s="54">
        <f t="shared" si="16"/>
        <v>0.22564102564102562</v>
      </c>
      <c r="M304" s="12">
        <v>0</v>
      </c>
      <c r="N304" s="52"/>
      <c r="O304" s="9"/>
    </row>
    <row r="305" spans="1:15" ht="60">
      <c r="A305" s="8" t="s">
        <v>295</v>
      </c>
      <c r="B305" s="8">
        <v>80195916</v>
      </c>
      <c r="C305" s="8">
        <v>9</v>
      </c>
      <c r="D305" s="8" t="s">
        <v>763</v>
      </c>
      <c r="E305" s="8">
        <v>297</v>
      </c>
      <c r="F305" s="10">
        <v>45824</v>
      </c>
      <c r="G305" s="10">
        <v>46022</v>
      </c>
      <c r="H305" s="51">
        <v>60924500</v>
      </c>
      <c r="I305" s="51">
        <v>9373000</v>
      </c>
      <c r="J305" s="5">
        <v>1540000</v>
      </c>
      <c r="K305" s="53">
        <f t="shared" si="15"/>
        <v>59384500</v>
      </c>
      <c r="L305" s="54">
        <f t="shared" si="16"/>
        <v>2.5277187338427098E-2</v>
      </c>
      <c r="M305" s="12">
        <v>0</v>
      </c>
      <c r="N305" s="52"/>
      <c r="O305" s="9"/>
    </row>
    <row r="306" spans="1:15" ht="105">
      <c r="A306" s="8" t="s">
        <v>789</v>
      </c>
      <c r="B306" s="8">
        <v>52997369</v>
      </c>
      <c r="C306" s="8">
        <v>1</v>
      </c>
      <c r="D306" s="8" t="s">
        <v>764</v>
      </c>
      <c r="E306" s="8">
        <v>298</v>
      </c>
      <c r="F306" s="10">
        <v>45825</v>
      </c>
      <c r="G306" s="10">
        <v>46022</v>
      </c>
      <c r="H306" s="51">
        <v>21340000</v>
      </c>
      <c r="I306" s="51">
        <v>3300000</v>
      </c>
      <c r="J306" s="58">
        <f>3347500+I306</f>
        <v>6647500</v>
      </c>
      <c r="K306" s="53">
        <f t="shared" si="15"/>
        <v>14692500</v>
      </c>
      <c r="L306" s="54">
        <f t="shared" si="16"/>
        <v>0.31150421743205248</v>
      </c>
      <c r="M306" s="12">
        <v>0</v>
      </c>
      <c r="N306" s="52"/>
      <c r="O306" s="9"/>
    </row>
    <row r="307" spans="1:15" ht="45">
      <c r="A307" s="8" t="s">
        <v>790</v>
      </c>
      <c r="B307" s="8">
        <v>1070956438</v>
      </c>
      <c r="C307" s="8">
        <v>0</v>
      </c>
      <c r="D307" s="8" t="s">
        <v>765</v>
      </c>
      <c r="E307" s="8">
        <v>299</v>
      </c>
      <c r="F307" s="10">
        <v>45826</v>
      </c>
      <c r="G307" s="10">
        <v>46022</v>
      </c>
      <c r="H307" s="51">
        <v>49955000</v>
      </c>
      <c r="I307" s="51">
        <v>7725000</v>
      </c>
      <c r="J307" s="58">
        <f>I307</f>
        <v>7725000</v>
      </c>
      <c r="K307" s="53">
        <f t="shared" si="15"/>
        <v>42230000</v>
      </c>
      <c r="L307" s="54">
        <f t="shared" si="16"/>
        <v>0.15463917525773196</v>
      </c>
      <c r="M307" s="12">
        <v>0</v>
      </c>
      <c r="N307" s="52"/>
      <c r="O307" s="9"/>
    </row>
    <row r="308" spans="1:15" ht="45">
      <c r="A308" s="8" t="s">
        <v>791</v>
      </c>
      <c r="B308" s="8">
        <v>901312112</v>
      </c>
      <c r="C308" s="8">
        <v>4</v>
      </c>
      <c r="D308" s="8" t="s">
        <v>766</v>
      </c>
      <c r="E308" s="8">
        <v>300</v>
      </c>
      <c r="F308" s="10">
        <v>45833</v>
      </c>
      <c r="G308" s="10">
        <v>45941</v>
      </c>
      <c r="H308" s="51">
        <v>2499052.46</v>
      </c>
      <c r="I308" s="8"/>
      <c r="J308" s="5">
        <v>0</v>
      </c>
      <c r="K308" s="53">
        <f t="shared" si="15"/>
        <v>2499052.46</v>
      </c>
      <c r="L308" s="54">
        <f t="shared" si="16"/>
        <v>0</v>
      </c>
      <c r="M308" s="12">
        <v>0</v>
      </c>
      <c r="N308" s="52"/>
      <c r="O308" s="9"/>
    </row>
    <row r="309" spans="1:15" ht="45">
      <c r="A309" s="8" t="s">
        <v>791</v>
      </c>
      <c r="B309" s="8">
        <v>901312112</v>
      </c>
      <c r="C309" s="8">
        <v>4</v>
      </c>
      <c r="D309" s="8" t="s">
        <v>766</v>
      </c>
      <c r="E309" s="8">
        <v>301</v>
      </c>
      <c r="F309" s="8"/>
      <c r="G309" s="8"/>
      <c r="H309" s="51">
        <v>46350000</v>
      </c>
      <c r="I309" s="8"/>
      <c r="J309" s="5">
        <v>0</v>
      </c>
      <c r="K309" s="53">
        <f t="shared" si="15"/>
        <v>46350000</v>
      </c>
      <c r="L309" s="54">
        <f t="shared" si="16"/>
        <v>0</v>
      </c>
      <c r="M309" s="12">
        <v>0</v>
      </c>
      <c r="N309" s="52"/>
      <c r="O309" s="9"/>
    </row>
    <row r="310" spans="1:15" ht="90">
      <c r="A310" s="8" t="s">
        <v>792</v>
      </c>
      <c r="B310" s="8">
        <v>52616840</v>
      </c>
      <c r="C310" s="8">
        <v>4</v>
      </c>
      <c r="D310" s="8" t="s">
        <v>767</v>
      </c>
      <c r="E310" s="8">
        <v>302</v>
      </c>
      <c r="F310" s="10">
        <v>45827</v>
      </c>
      <c r="G310" s="10">
        <v>46019</v>
      </c>
      <c r="H310" s="51">
        <v>42401667</v>
      </c>
      <c r="I310" s="51">
        <v>6695000</v>
      </c>
      <c r="J310" s="58">
        <f>2678000+I310</f>
        <v>9373000</v>
      </c>
      <c r="K310" s="53">
        <f t="shared" si="15"/>
        <v>33028667</v>
      </c>
      <c r="L310" s="54">
        <f t="shared" si="16"/>
        <v>0.22105262984118057</v>
      </c>
      <c r="M310" s="12">
        <v>0</v>
      </c>
      <c r="N310" s="52"/>
      <c r="O310" s="9"/>
    </row>
    <row r="311" spans="1:15" ht="60">
      <c r="A311" s="8" t="s">
        <v>793</v>
      </c>
      <c r="B311" s="8">
        <v>80857311</v>
      </c>
      <c r="C311" s="8">
        <v>5</v>
      </c>
      <c r="D311" s="8" t="s">
        <v>644</v>
      </c>
      <c r="E311" s="8">
        <v>303</v>
      </c>
      <c r="F311" s="10">
        <v>45833</v>
      </c>
      <c r="G311" s="10">
        <v>46010</v>
      </c>
      <c r="H311" s="51">
        <v>49440000</v>
      </c>
      <c r="I311" s="51">
        <v>8240000</v>
      </c>
      <c r="J311" s="58">
        <f>I311</f>
        <v>8240000</v>
      </c>
      <c r="K311" s="53">
        <f t="shared" si="15"/>
        <v>41200000</v>
      </c>
      <c r="L311" s="54">
        <f t="shared" si="16"/>
        <v>0.16666666666666663</v>
      </c>
      <c r="M311" s="12">
        <v>0</v>
      </c>
      <c r="N311" s="52"/>
      <c r="O311" s="9"/>
    </row>
    <row r="312" spans="1:15" ht="75">
      <c r="A312" s="8" t="s">
        <v>794</v>
      </c>
      <c r="B312" s="8">
        <v>79671168</v>
      </c>
      <c r="C312" s="8">
        <v>4</v>
      </c>
      <c r="D312" s="8" t="s">
        <v>768</v>
      </c>
      <c r="E312" s="8">
        <v>304</v>
      </c>
      <c r="F312" s="10">
        <v>45834</v>
      </c>
      <c r="G312" s="10">
        <v>46016</v>
      </c>
      <c r="H312" s="51">
        <v>52530000</v>
      </c>
      <c r="I312" s="51">
        <v>8755000</v>
      </c>
      <c r="J312" s="5">
        <f>8463167</f>
        <v>8463167</v>
      </c>
      <c r="K312" s="53">
        <f t="shared" si="15"/>
        <v>44066833</v>
      </c>
      <c r="L312" s="54">
        <f t="shared" si="16"/>
        <v>0.16111111745669138</v>
      </c>
      <c r="M312" s="12">
        <v>0</v>
      </c>
      <c r="N312" s="52"/>
      <c r="O312" s="9"/>
    </row>
    <row r="313" spans="1:15" ht="60">
      <c r="A313" s="8" t="s">
        <v>795</v>
      </c>
      <c r="B313" s="8">
        <v>1023902292</v>
      </c>
      <c r="C313" s="8">
        <v>1</v>
      </c>
      <c r="D313" s="8" t="s">
        <v>769</v>
      </c>
      <c r="E313" s="8">
        <v>305</v>
      </c>
      <c r="F313" s="10">
        <v>45834</v>
      </c>
      <c r="G313" s="10">
        <v>46016</v>
      </c>
      <c r="H313" s="51">
        <v>46350000</v>
      </c>
      <c r="I313" s="51">
        <v>7725000</v>
      </c>
      <c r="J313" s="58">
        <f>1287500+I313</f>
        <v>9012500</v>
      </c>
      <c r="K313" s="53">
        <f t="shared" si="15"/>
        <v>37337500</v>
      </c>
      <c r="L313" s="54">
        <f t="shared" si="16"/>
        <v>0.19444444444444442</v>
      </c>
      <c r="M313" s="12">
        <v>0</v>
      </c>
      <c r="N313" s="52"/>
      <c r="O313" s="9"/>
    </row>
    <row r="314" spans="1:15" ht="60">
      <c r="A314" s="8" t="s">
        <v>126</v>
      </c>
      <c r="B314" s="8">
        <v>1020822526</v>
      </c>
      <c r="C314" s="8">
        <v>3</v>
      </c>
      <c r="D314" s="8" t="s">
        <v>770</v>
      </c>
      <c r="E314" s="8">
        <v>306</v>
      </c>
      <c r="F314" s="10">
        <v>45834</v>
      </c>
      <c r="G314" s="10">
        <v>46016</v>
      </c>
      <c r="H314" s="51">
        <v>27810000</v>
      </c>
      <c r="I314" s="51">
        <v>4635000</v>
      </c>
      <c r="J314" s="58">
        <f>772500+I314</f>
        <v>5407500</v>
      </c>
      <c r="K314" s="53">
        <f t="shared" si="15"/>
        <v>22402500</v>
      </c>
      <c r="L314" s="54">
        <f t="shared" si="16"/>
        <v>0.19444444444444442</v>
      </c>
      <c r="M314" s="12">
        <v>0</v>
      </c>
      <c r="N314" s="52"/>
      <c r="O314" s="9"/>
    </row>
    <row r="315" spans="1:15" ht="75">
      <c r="A315" s="8" t="s">
        <v>322</v>
      </c>
      <c r="B315" s="8">
        <v>52904871</v>
      </c>
      <c r="C315" s="8">
        <v>8</v>
      </c>
      <c r="D315" s="8" t="s">
        <v>771</v>
      </c>
      <c r="E315" s="8">
        <v>307</v>
      </c>
      <c r="F315" s="8"/>
      <c r="G315" s="10">
        <v>46022</v>
      </c>
      <c r="H315" s="51">
        <v>56238000</v>
      </c>
      <c r="I315" s="51">
        <v>9373000</v>
      </c>
      <c r="J315" s="5">
        <f>8748133</f>
        <v>8748133</v>
      </c>
      <c r="K315" s="53">
        <f t="shared" si="15"/>
        <v>47489867</v>
      </c>
      <c r="L315" s="54">
        <f t="shared" si="16"/>
        <v>0.15555554962836515</v>
      </c>
      <c r="M315" s="12">
        <v>0</v>
      </c>
      <c r="N315" s="52"/>
      <c r="O315" s="9"/>
    </row>
    <row r="316" spans="1:15" ht="60">
      <c r="A316" s="8" t="s">
        <v>121</v>
      </c>
      <c r="B316" s="8">
        <v>1020802607</v>
      </c>
      <c r="C316" s="8">
        <v>6</v>
      </c>
      <c r="D316" s="8" t="s">
        <v>772</v>
      </c>
      <c r="E316" s="8">
        <v>308</v>
      </c>
      <c r="F316" s="10">
        <v>45835</v>
      </c>
      <c r="G316" s="10">
        <v>46017</v>
      </c>
      <c r="H316" s="51">
        <v>33990000</v>
      </c>
      <c r="I316" s="51">
        <v>5665000</v>
      </c>
      <c r="J316" s="5">
        <v>0</v>
      </c>
      <c r="K316" s="53">
        <f t="shared" si="15"/>
        <v>33990000</v>
      </c>
      <c r="L316" s="54">
        <f t="shared" si="16"/>
        <v>0</v>
      </c>
      <c r="M316" s="12">
        <v>0</v>
      </c>
      <c r="N316" s="52"/>
      <c r="O316" s="9"/>
    </row>
    <row r="317" spans="1:15" ht="60">
      <c r="A317" s="8" t="s">
        <v>796</v>
      </c>
      <c r="B317" s="8">
        <v>11311766</v>
      </c>
      <c r="C317" s="8">
        <v>8</v>
      </c>
      <c r="D317" s="8" t="s">
        <v>773</v>
      </c>
      <c r="E317" s="8">
        <v>309</v>
      </c>
      <c r="F317" s="10">
        <v>45834</v>
      </c>
      <c r="G317" s="10">
        <v>46016</v>
      </c>
      <c r="H317" s="51">
        <v>37080000</v>
      </c>
      <c r="I317" s="51">
        <v>6180000</v>
      </c>
      <c r="J317" s="58">
        <f>1030000+I317</f>
        <v>7210000</v>
      </c>
      <c r="K317" s="53">
        <f t="shared" si="15"/>
        <v>29870000</v>
      </c>
      <c r="L317" s="54">
        <f t="shared" si="16"/>
        <v>0.19444444444444442</v>
      </c>
      <c r="M317" s="12">
        <v>0</v>
      </c>
      <c r="N317" s="52"/>
      <c r="O317" s="9"/>
    </row>
    <row r="318" spans="1:15" ht="45">
      <c r="A318" s="60" t="s">
        <v>133</v>
      </c>
      <c r="B318" s="60">
        <v>1022392990</v>
      </c>
      <c r="C318" s="60">
        <v>9</v>
      </c>
      <c r="D318" s="60" t="s">
        <v>851</v>
      </c>
      <c r="E318" s="60">
        <v>310</v>
      </c>
      <c r="F318" s="60"/>
      <c r="G318" s="61">
        <v>46022</v>
      </c>
      <c r="H318" s="52">
        <v>13596000</v>
      </c>
      <c r="I318" s="52">
        <v>2266000</v>
      </c>
      <c r="J318" s="58">
        <v>2114933</v>
      </c>
      <c r="K318" s="53">
        <f t="shared" si="15"/>
        <v>11481067</v>
      </c>
      <c r="L318" s="54">
        <f t="shared" si="16"/>
        <v>0.1555555310385407</v>
      </c>
      <c r="M318" s="12">
        <v>0</v>
      </c>
      <c r="N318" s="52"/>
      <c r="O318" s="9"/>
    </row>
    <row r="319" spans="1:15" ht="60">
      <c r="A319" s="60" t="s">
        <v>807</v>
      </c>
      <c r="B319" s="60">
        <v>800015583</v>
      </c>
      <c r="C319" s="60">
        <v>1</v>
      </c>
      <c r="D319" s="60" t="s">
        <v>852</v>
      </c>
      <c r="E319" s="60">
        <v>311</v>
      </c>
      <c r="F319" s="62">
        <v>45845</v>
      </c>
      <c r="G319" s="61">
        <v>45875</v>
      </c>
      <c r="H319" s="52">
        <v>139800000</v>
      </c>
      <c r="I319" s="52"/>
      <c r="J319" s="58"/>
      <c r="K319" s="53">
        <f t="shared" si="15"/>
        <v>139800000</v>
      </c>
      <c r="L319" s="54">
        <f t="shared" si="16"/>
        <v>0</v>
      </c>
      <c r="M319" s="12">
        <v>0</v>
      </c>
      <c r="N319" s="52"/>
      <c r="O319" s="9"/>
    </row>
    <row r="320" spans="1:15" ht="105">
      <c r="A320" s="60" t="s">
        <v>808</v>
      </c>
      <c r="B320" s="60">
        <v>1089846479</v>
      </c>
      <c r="C320" s="60">
        <v>1</v>
      </c>
      <c r="D320" s="60" t="s">
        <v>853</v>
      </c>
      <c r="E320" s="60">
        <v>312</v>
      </c>
      <c r="F320" s="60"/>
      <c r="G320" s="61">
        <v>46022</v>
      </c>
      <c r="H320" s="52">
        <v>40170000</v>
      </c>
      <c r="I320" s="52">
        <v>6695000</v>
      </c>
      <c r="J320" s="58">
        <v>6248667</v>
      </c>
      <c r="K320" s="53">
        <f t="shared" si="15"/>
        <v>33921333</v>
      </c>
      <c r="L320" s="54">
        <f t="shared" si="16"/>
        <v>0.15555556385362213</v>
      </c>
      <c r="M320" s="12">
        <v>0</v>
      </c>
      <c r="N320" s="52"/>
      <c r="O320" s="9"/>
    </row>
    <row r="321" spans="1:15" ht="75">
      <c r="A321" s="60" t="s">
        <v>809</v>
      </c>
      <c r="B321" s="60">
        <v>12969555</v>
      </c>
      <c r="C321" s="60">
        <v>9</v>
      </c>
      <c r="D321" s="60" t="s">
        <v>854</v>
      </c>
      <c r="E321" s="60">
        <v>313</v>
      </c>
      <c r="F321" s="62">
        <v>45842</v>
      </c>
      <c r="G321" s="61">
        <v>46022</v>
      </c>
      <c r="H321" s="52">
        <v>46350000</v>
      </c>
      <c r="I321" s="52">
        <v>7725000</v>
      </c>
      <c r="J321" s="58">
        <v>6952500</v>
      </c>
      <c r="K321" s="53">
        <f t="shared" si="15"/>
        <v>39397500</v>
      </c>
      <c r="L321" s="54">
        <f t="shared" si="16"/>
        <v>0.15000000000000002</v>
      </c>
      <c r="M321" s="12">
        <v>0</v>
      </c>
      <c r="N321" s="52"/>
      <c r="O321" s="9"/>
    </row>
    <row r="322" spans="1:15" ht="60">
      <c r="A322" s="60" t="s">
        <v>299</v>
      </c>
      <c r="B322" s="60">
        <v>1018427750</v>
      </c>
      <c r="C322" s="60">
        <v>6</v>
      </c>
      <c r="D322" s="60" t="s">
        <v>855</v>
      </c>
      <c r="E322" s="60">
        <v>314</v>
      </c>
      <c r="F322" s="62">
        <v>45842</v>
      </c>
      <c r="G322" s="61">
        <v>46022</v>
      </c>
      <c r="H322" s="52">
        <v>36668000</v>
      </c>
      <c r="I322" s="52">
        <v>6180000</v>
      </c>
      <c r="J322" s="58">
        <v>5562000</v>
      </c>
      <c r="K322" s="53">
        <f t="shared" si="15"/>
        <v>31106000</v>
      </c>
      <c r="L322" s="54">
        <f t="shared" si="16"/>
        <v>0.151685393258427</v>
      </c>
      <c r="M322" s="12">
        <v>0</v>
      </c>
      <c r="N322" s="52"/>
      <c r="O322" s="9"/>
    </row>
    <row r="323" spans="1:15" ht="75">
      <c r="A323" s="60" t="s">
        <v>110</v>
      </c>
      <c r="B323" s="60">
        <v>1082933510</v>
      </c>
      <c r="C323" s="60">
        <v>8</v>
      </c>
      <c r="D323" s="60" t="s">
        <v>856</v>
      </c>
      <c r="E323" s="60">
        <v>315</v>
      </c>
      <c r="F323" s="62">
        <v>45841</v>
      </c>
      <c r="G323" s="61">
        <v>46022</v>
      </c>
      <c r="H323" s="52">
        <v>51946333</v>
      </c>
      <c r="I323" s="52">
        <v>8755000</v>
      </c>
      <c r="J323" s="58">
        <v>8171333</v>
      </c>
      <c r="K323" s="53">
        <f t="shared" si="15"/>
        <v>43775000</v>
      </c>
      <c r="L323" s="54">
        <f t="shared" si="16"/>
        <v>0.15730336537903455</v>
      </c>
      <c r="M323" s="12">
        <v>0</v>
      </c>
      <c r="N323" s="52"/>
      <c r="O323" s="9"/>
    </row>
    <row r="324" spans="1:15" ht="60">
      <c r="A324" s="60" t="s">
        <v>810</v>
      </c>
      <c r="B324" s="60">
        <v>1100503946</v>
      </c>
      <c r="C324" s="60">
        <v>5</v>
      </c>
      <c r="D324" s="60" t="s">
        <v>857</v>
      </c>
      <c r="E324" s="60">
        <v>316</v>
      </c>
      <c r="F324" s="62">
        <v>45846</v>
      </c>
      <c r="G324" s="61">
        <v>46022</v>
      </c>
      <c r="H324" s="52">
        <v>40170000</v>
      </c>
      <c r="I324" s="52">
        <v>6695000</v>
      </c>
      <c r="J324" s="58">
        <v>5132833</v>
      </c>
      <c r="K324" s="53">
        <f t="shared" si="15"/>
        <v>35037167</v>
      </c>
      <c r="L324" s="54">
        <f t="shared" si="16"/>
        <v>0.1277777694797112</v>
      </c>
      <c r="M324" s="12">
        <v>0</v>
      </c>
      <c r="N324" s="52"/>
      <c r="O324" s="9"/>
    </row>
    <row r="325" spans="1:15" ht="60">
      <c r="A325" s="60" t="s">
        <v>811</v>
      </c>
      <c r="B325" s="60">
        <v>1019128877</v>
      </c>
      <c r="C325" s="60">
        <v>3</v>
      </c>
      <c r="D325" s="60" t="s">
        <v>858</v>
      </c>
      <c r="E325" s="60">
        <v>317</v>
      </c>
      <c r="F325" s="62">
        <v>45856</v>
      </c>
      <c r="G325" s="61">
        <v>46022</v>
      </c>
      <c r="H325" s="52">
        <v>37268833</v>
      </c>
      <c r="I325" s="52">
        <v>6695000</v>
      </c>
      <c r="J325" s="58">
        <v>2901167</v>
      </c>
      <c r="K325" s="53">
        <f t="shared" si="15"/>
        <v>34367666</v>
      </c>
      <c r="L325" s="54">
        <f t="shared" si="16"/>
        <v>7.784432101751082E-2</v>
      </c>
      <c r="M325" s="12">
        <v>0</v>
      </c>
      <c r="N325" s="52"/>
      <c r="O325" s="9"/>
    </row>
    <row r="326" spans="1:15" ht="90">
      <c r="A326" s="60" t="s">
        <v>812</v>
      </c>
      <c r="B326" s="60">
        <v>51583214</v>
      </c>
      <c r="C326" s="60">
        <v>6</v>
      </c>
      <c r="D326" s="60" t="s">
        <v>859</v>
      </c>
      <c r="E326" s="60">
        <v>318</v>
      </c>
      <c r="F326" s="62">
        <v>45845</v>
      </c>
      <c r="G326" s="61">
        <v>46022</v>
      </c>
      <c r="H326" s="52">
        <v>42779333</v>
      </c>
      <c r="I326" s="52">
        <v>7210000</v>
      </c>
      <c r="J326" s="58">
        <v>5768000</v>
      </c>
      <c r="K326" s="53">
        <f t="shared" si="15"/>
        <v>37011333</v>
      </c>
      <c r="L326" s="54">
        <f t="shared" si="16"/>
        <v>0.13483146172475391</v>
      </c>
      <c r="M326" s="12">
        <v>0</v>
      </c>
      <c r="N326" s="52"/>
      <c r="O326" s="9"/>
    </row>
    <row r="327" spans="1:15" ht="60">
      <c r="A327" s="60" t="s">
        <v>813</v>
      </c>
      <c r="B327" s="60">
        <v>1105059435</v>
      </c>
      <c r="C327" s="60">
        <v>7</v>
      </c>
      <c r="D327" s="60" t="s">
        <v>860</v>
      </c>
      <c r="E327" s="60">
        <v>319</v>
      </c>
      <c r="F327" s="62">
        <v>45845</v>
      </c>
      <c r="G327" s="61">
        <v>46022</v>
      </c>
      <c r="H327" s="52">
        <v>39500500</v>
      </c>
      <c r="I327" s="52">
        <v>6695000</v>
      </c>
      <c r="J327" s="58">
        <v>5356000</v>
      </c>
      <c r="K327" s="53">
        <f t="shared" si="15"/>
        <v>34144500</v>
      </c>
      <c r="L327" s="54">
        <f t="shared" si="16"/>
        <v>0.13559322033898302</v>
      </c>
      <c r="M327" s="12">
        <v>0</v>
      </c>
      <c r="N327" s="52"/>
      <c r="O327" s="9"/>
    </row>
    <row r="328" spans="1:15" ht="60">
      <c r="A328" s="60" t="s">
        <v>814</v>
      </c>
      <c r="B328" s="60">
        <v>1073506407</v>
      </c>
      <c r="C328" s="60">
        <v>3</v>
      </c>
      <c r="D328" s="60" t="s">
        <v>861</v>
      </c>
      <c r="E328" s="60">
        <v>320</v>
      </c>
      <c r="F328" s="62">
        <v>45842</v>
      </c>
      <c r="G328" s="61">
        <v>46022</v>
      </c>
      <c r="H328" s="52">
        <v>51654500</v>
      </c>
      <c r="I328" s="52">
        <v>8755000</v>
      </c>
      <c r="J328" s="58">
        <v>7879500</v>
      </c>
      <c r="K328" s="53">
        <f t="shared" si="15"/>
        <v>43775000</v>
      </c>
      <c r="L328" s="54">
        <f t="shared" si="16"/>
        <v>0.15254237288135597</v>
      </c>
      <c r="M328" s="12">
        <v>0</v>
      </c>
      <c r="N328" s="52"/>
      <c r="O328" s="9"/>
    </row>
    <row r="329" spans="1:15" ht="75">
      <c r="A329" s="60" t="s">
        <v>815</v>
      </c>
      <c r="B329" s="60">
        <v>80195490</v>
      </c>
      <c r="C329" s="60">
        <v>3</v>
      </c>
      <c r="D329" s="60" t="s">
        <v>862</v>
      </c>
      <c r="E329" s="60">
        <v>321</v>
      </c>
      <c r="F329" s="62">
        <v>45848</v>
      </c>
      <c r="G329" s="61">
        <v>46022</v>
      </c>
      <c r="H329" s="52">
        <v>48616000</v>
      </c>
      <c r="I329" s="52">
        <v>8240000</v>
      </c>
      <c r="J329" s="58"/>
      <c r="K329" s="53">
        <f t="shared" si="15"/>
        <v>48616000</v>
      </c>
      <c r="L329" s="54">
        <f t="shared" si="16"/>
        <v>0</v>
      </c>
      <c r="M329" s="12">
        <v>0</v>
      </c>
      <c r="N329" s="52"/>
      <c r="O329" s="9"/>
    </row>
    <row r="330" spans="1:15" ht="60">
      <c r="A330" s="60" t="s">
        <v>816</v>
      </c>
      <c r="B330" s="60">
        <v>1010179817</v>
      </c>
      <c r="C330" s="60">
        <v>7</v>
      </c>
      <c r="D330" s="60" t="s">
        <v>863</v>
      </c>
      <c r="E330" s="60">
        <v>322</v>
      </c>
      <c r="F330" s="62">
        <v>45848</v>
      </c>
      <c r="G330" s="61">
        <v>46022</v>
      </c>
      <c r="H330" s="52" t="s">
        <v>899</v>
      </c>
      <c r="I330" s="52">
        <v>8755000</v>
      </c>
      <c r="J330" s="58">
        <v>6128500</v>
      </c>
      <c r="K330" s="53" t="e">
        <f t="shared" si="15"/>
        <v>#VALUE!</v>
      </c>
      <c r="L330" s="54" t="e">
        <f t="shared" si="16"/>
        <v>#VALUE!</v>
      </c>
      <c r="M330" s="12">
        <v>0</v>
      </c>
      <c r="N330" s="52"/>
      <c r="O330" s="9"/>
    </row>
    <row r="331" spans="1:15" ht="75">
      <c r="A331" s="60" t="s">
        <v>817</v>
      </c>
      <c r="B331" s="60">
        <v>91535835</v>
      </c>
      <c r="C331" s="60">
        <v>0</v>
      </c>
      <c r="D331" s="60" t="s">
        <v>864</v>
      </c>
      <c r="E331" s="60">
        <v>323</v>
      </c>
      <c r="F331" s="62">
        <v>45856</v>
      </c>
      <c r="G331" s="61">
        <v>46022</v>
      </c>
      <c r="H331" s="52">
        <v>48736167</v>
      </c>
      <c r="I331" s="52">
        <v>8755000</v>
      </c>
      <c r="J331" s="58">
        <v>3793833</v>
      </c>
      <c r="K331" s="53">
        <f t="shared" si="15"/>
        <v>44942334</v>
      </c>
      <c r="L331" s="54">
        <f t="shared" si="16"/>
        <v>7.7844304005278087E-2</v>
      </c>
      <c r="M331" s="12">
        <v>0</v>
      </c>
      <c r="N331" s="52"/>
      <c r="O331" s="9"/>
    </row>
    <row r="332" spans="1:15" ht="60">
      <c r="A332" s="60" t="s">
        <v>818</v>
      </c>
      <c r="B332" s="60">
        <v>80096917</v>
      </c>
      <c r="C332" s="60">
        <v>1</v>
      </c>
      <c r="D332" s="60" t="s">
        <v>865</v>
      </c>
      <c r="E332" s="60">
        <v>324</v>
      </c>
      <c r="F332" s="62">
        <v>45846</v>
      </c>
      <c r="G332" s="61">
        <v>46022</v>
      </c>
      <c r="H332" s="52">
        <v>40135667</v>
      </c>
      <c r="I332" s="52" t="s">
        <v>900</v>
      </c>
      <c r="J332" s="58">
        <v>5132833</v>
      </c>
      <c r="K332" s="53">
        <f t="shared" si="15"/>
        <v>35002834</v>
      </c>
      <c r="L332" s="54">
        <f t="shared" si="16"/>
        <v>0.12788707360961515</v>
      </c>
      <c r="M332" s="12">
        <v>0</v>
      </c>
      <c r="N332" s="52"/>
      <c r="O332" s="9"/>
    </row>
    <row r="333" spans="1:15" ht="60">
      <c r="A333" s="60" t="s">
        <v>819</v>
      </c>
      <c r="B333" s="60">
        <v>1022952696</v>
      </c>
      <c r="C333" s="60">
        <v>1</v>
      </c>
      <c r="D333" s="60" t="s">
        <v>866</v>
      </c>
      <c r="E333" s="60">
        <v>325</v>
      </c>
      <c r="F333" s="62">
        <v>45847</v>
      </c>
      <c r="G333" s="61">
        <v>46022</v>
      </c>
      <c r="H333" s="52">
        <v>41577667</v>
      </c>
      <c r="I333" s="52">
        <v>7210000</v>
      </c>
      <c r="J333" s="58">
        <v>5287333</v>
      </c>
      <c r="K333" s="53">
        <f t="shared" si="15"/>
        <v>36290334</v>
      </c>
      <c r="L333" s="54">
        <f t="shared" si="16"/>
        <v>0.12716762102116019</v>
      </c>
      <c r="M333" s="12">
        <v>0</v>
      </c>
      <c r="N333" s="52"/>
      <c r="O333" s="9"/>
    </row>
    <row r="334" spans="1:15" ht="75">
      <c r="A334" s="60" t="s">
        <v>820</v>
      </c>
      <c r="B334" s="60">
        <v>79987795</v>
      </c>
      <c r="C334" s="60">
        <v>1</v>
      </c>
      <c r="D334" s="60" t="s">
        <v>867</v>
      </c>
      <c r="E334" s="60">
        <v>326</v>
      </c>
      <c r="F334" s="62">
        <v>45848</v>
      </c>
      <c r="G334" s="61">
        <v>46022</v>
      </c>
      <c r="H334" s="52">
        <v>44547500</v>
      </c>
      <c r="I334" s="52">
        <v>7725000</v>
      </c>
      <c r="J334" s="58">
        <v>5407500</v>
      </c>
      <c r="K334" s="53">
        <f t="shared" si="15"/>
        <v>39140000</v>
      </c>
      <c r="L334" s="54">
        <f t="shared" si="16"/>
        <v>0.12138728323699421</v>
      </c>
      <c r="M334" s="12">
        <v>0</v>
      </c>
      <c r="N334" s="52"/>
      <c r="O334" s="9"/>
    </row>
    <row r="335" spans="1:15" ht="60">
      <c r="A335" s="60" t="s">
        <v>821</v>
      </c>
      <c r="B335" s="60">
        <v>800058607</v>
      </c>
      <c r="C335" s="60">
        <v>2</v>
      </c>
      <c r="D335" s="60" t="s">
        <v>868</v>
      </c>
      <c r="E335" s="60">
        <v>327</v>
      </c>
      <c r="F335" s="62">
        <v>45867</v>
      </c>
      <c r="G335" s="61">
        <v>45958</v>
      </c>
      <c r="H335" s="52">
        <v>1016506173</v>
      </c>
      <c r="I335" s="52" t="s">
        <v>901</v>
      </c>
      <c r="J335" s="58"/>
      <c r="K335" s="53">
        <f t="shared" si="15"/>
        <v>1016506173</v>
      </c>
      <c r="L335" s="54">
        <f t="shared" si="16"/>
        <v>0</v>
      </c>
      <c r="M335" s="12">
        <v>0</v>
      </c>
      <c r="N335" s="52"/>
      <c r="O335" s="9"/>
    </row>
    <row r="336" spans="1:15" ht="75">
      <c r="A336" s="60" t="s">
        <v>822</v>
      </c>
      <c r="B336" s="60">
        <v>1065005190</v>
      </c>
      <c r="C336" s="60">
        <v>1</v>
      </c>
      <c r="D336" s="60" t="s">
        <v>869</v>
      </c>
      <c r="E336" s="60">
        <v>328</v>
      </c>
      <c r="F336" s="62">
        <v>45848</v>
      </c>
      <c r="G336" s="61">
        <v>46022</v>
      </c>
      <c r="H336" s="52">
        <v>38161500</v>
      </c>
      <c r="I336" s="52">
        <v>6695000</v>
      </c>
      <c r="J336" s="58">
        <v>4686500</v>
      </c>
      <c r="K336" s="53">
        <f t="shared" si="15"/>
        <v>33475000</v>
      </c>
      <c r="L336" s="54">
        <f t="shared" si="16"/>
        <v>0.1228070175438597</v>
      </c>
      <c r="M336" s="12">
        <v>0</v>
      </c>
      <c r="N336" s="52"/>
      <c r="O336" s="9"/>
    </row>
    <row r="337" spans="1:15" ht="45">
      <c r="A337" s="60" t="s">
        <v>823</v>
      </c>
      <c r="B337" s="60" t="s">
        <v>850</v>
      </c>
      <c r="C337" s="60">
        <v>1</v>
      </c>
      <c r="D337" s="60" t="s">
        <v>870</v>
      </c>
      <c r="E337" s="60">
        <v>329</v>
      </c>
      <c r="F337" s="62">
        <v>45854</v>
      </c>
      <c r="G337" s="61">
        <v>46006</v>
      </c>
      <c r="H337" s="52">
        <v>54314678.289999999</v>
      </c>
      <c r="I337" s="52" t="s">
        <v>902</v>
      </c>
      <c r="J337" s="58"/>
      <c r="K337" s="53">
        <f t="shared" si="15"/>
        <v>54314678.289999999</v>
      </c>
      <c r="L337" s="54">
        <f t="shared" si="16"/>
        <v>0</v>
      </c>
      <c r="M337" s="12">
        <v>0</v>
      </c>
      <c r="N337" s="52"/>
      <c r="O337" s="9"/>
    </row>
    <row r="338" spans="1:15" ht="60">
      <c r="A338" s="60" t="s">
        <v>824</v>
      </c>
      <c r="B338" s="60">
        <v>55222766</v>
      </c>
      <c r="C338" s="60">
        <v>6</v>
      </c>
      <c r="D338" s="60" t="s">
        <v>871</v>
      </c>
      <c r="E338" s="60">
        <v>330</v>
      </c>
      <c r="F338" s="62">
        <v>45848</v>
      </c>
      <c r="G338" s="61">
        <v>46022</v>
      </c>
      <c r="H338" s="52">
        <v>32290500</v>
      </c>
      <c r="I338" s="52">
        <v>5665000</v>
      </c>
      <c r="J338" s="58">
        <v>3965500</v>
      </c>
      <c r="K338" s="53">
        <f t="shared" si="15"/>
        <v>28325000</v>
      </c>
      <c r="L338" s="54">
        <f t="shared" si="16"/>
        <v>0.1228070175438597</v>
      </c>
      <c r="M338" s="12">
        <v>0</v>
      </c>
      <c r="N338" s="52"/>
      <c r="O338" s="9"/>
    </row>
    <row r="339" spans="1:15" ht="105">
      <c r="A339" s="60" t="s">
        <v>825</v>
      </c>
      <c r="B339" s="60">
        <v>1083010281</v>
      </c>
      <c r="C339" s="60">
        <v>9</v>
      </c>
      <c r="D339" s="60" t="s">
        <v>872</v>
      </c>
      <c r="E339" s="60">
        <v>331</v>
      </c>
      <c r="F339" s="62">
        <v>45849</v>
      </c>
      <c r="G339" s="61">
        <v>46022</v>
      </c>
      <c r="H339" s="52">
        <v>26265000</v>
      </c>
      <c r="I339" s="52">
        <v>4635000</v>
      </c>
      <c r="J339" s="58">
        <v>3090000</v>
      </c>
      <c r="K339" s="53">
        <f t="shared" si="15"/>
        <v>23175000</v>
      </c>
      <c r="L339" s="54">
        <f t="shared" si="16"/>
        <v>0.11764705882352944</v>
      </c>
      <c r="M339" s="12">
        <v>0</v>
      </c>
      <c r="N339" s="52"/>
      <c r="O339" s="9"/>
    </row>
    <row r="340" spans="1:15" ht="120">
      <c r="A340" s="60" t="s">
        <v>826</v>
      </c>
      <c r="B340" s="60">
        <v>1024525897</v>
      </c>
      <c r="C340" s="60">
        <v>1</v>
      </c>
      <c r="D340" s="60" t="s">
        <v>873</v>
      </c>
      <c r="E340" s="60">
        <v>332</v>
      </c>
      <c r="F340" s="62">
        <v>45848</v>
      </c>
      <c r="G340" s="61">
        <v>46022</v>
      </c>
      <c r="H340" s="52">
        <v>12916200</v>
      </c>
      <c r="I340" s="52">
        <v>2266000</v>
      </c>
      <c r="J340" s="58">
        <v>1586200</v>
      </c>
      <c r="K340" s="53">
        <f t="shared" si="15"/>
        <v>11330000</v>
      </c>
      <c r="L340" s="54">
        <f t="shared" si="16"/>
        <v>0.1228070175438597</v>
      </c>
      <c r="M340" s="12">
        <v>0</v>
      </c>
      <c r="N340" s="52"/>
      <c r="O340" s="9"/>
    </row>
    <row r="341" spans="1:15" ht="75">
      <c r="A341" s="60" t="s">
        <v>827</v>
      </c>
      <c r="B341" s="60">
        <v>1014267307</v>
      </c>
      <c r="C341" s="60">
        <v>4</v>
      </c>
      <c r="D341" s="60" t="s">
        <v>874</v>
      </c>
      <c r="E341" s="60">
        <v>333</v>
      </c>
      <c r="F341" s="62">
        <v>45852</v>
      </c>
      <c r="G341" s="61">
        <v>46022</v>
      </c>
      <c r="H341" s="52">
        <v>18370000</v>
      </c>
      <c r="I341" s="52">
        <v>3300000</v>
      </c>
      <c r="J341" s="58">
        <v>1870000</v>
      </c>
      <c r="K341" s="53">
        <f t="shared" si="15"/>
        <v>16500000</v>
      </c>
      <c r="L341" s="54">
        <f t="shared" si="16"/>
        <v>0.10179640718562877</v>
      </c>
      <c r="M341" s="12">
        <v>0</v>
      </c>
      <c r="N341" s="52"/>
      <c r="O341" s="9"/>
    </row>
    <row r="342" spans="1:15" ht="105">
      <c r="A342" s="60" t="s">
        <v>828</v>
      </c>
      <c r="B342" s="60">
        <v>20904839</v>
      </c>
      <c r="C342" s="60">
        <v>5</v>
      </c>
      <c r="D342" s="60" t="s">
        <v>875</v>
      </c>
      <c r="E342" s="60">
        <v>334</v>
      </c>
      <c r="F342" s="62">
        <v>45848</v>
      </c>
      <c r="G342" s="61">
        <v>46022</v>
      </c>
      <c r="H342" s="52">
        <v>41097000</v>
      </c>
      <c r="I342" s="52" t="s">
        <v>900</v>
      </c>
      <c r="J342" s="58">
        <v>5047000</v>
      </c>
      <c r="K342" s="53">
        <f t="shared" si="15"/>
        <v>36050000</v>
      </c>
      <c r="L342" s="54">
        <f t="shared" si="16"/>
        <v>0.1228070175438597</v>
      </c>
      <c r="M342" s="12">
        <v>0</v>
      </c>
      <c r="N342" s="52"/>
      <c r="O342" s="9"/>
    </row>
    <row r="343" spans="1:15" ht="75">
      <c r="A343" s="60" t="s">
        <v>829</v>
      </c>
      <c r="B343" s="60">
        <v>1010196846</v>
      </c>
      <c r="C343" s="60">
        <v>2</v>
      </c>
      <c r="D343" s="60" t="s">
        <v>876</v>
      </c>
      <c r="E343" s="60">
        <v>335</v>
      </c>
      <c r="F343" s="62">
        <v>45852</v>
      </c>
      <c r="G343" s="61">
        <v>46022</v>
      </c>
      <c r="H343" s="52">
        <v>12840667</v>
      </c>
      <c r="I343" s="52">
        <v>2266000</v>
      </c>
      <c r="J343" s="58">
        <v>1284067</v>
      </c>
      <c r="K343" s="53">
        <f t="shared" si="15"/>
        <v>11556600</v>
      </c>
      <c r="L343" s="54">
        <f t="shared" si="16"/>
        <v>0.10000002336327229</v>
      </c>
      <c r="M343" s="12">
        <v>0</v>
      </c>
      <c r="N343" s="52"/>
      <c r="O343" s="9"/>
    </row>
    <row r="344" spans="1:15" ht="60">
      <c r="A344" s="60" t="s">
        <v>830</v>
      </c>
      <c r="B344" s="60">
        <v>30405204</v>
      </c>
      <c r="C344" s="60">
        <v>4</v>
      </c>
      <c r="D344" s="60" t="s">
        <v>877</v>
      </c>
      <c r="E344" s="60">
        <v>336</v>
      </c>
      <c r="F344" s="62">
        <v>45852</v>
      </c>
      <c r="G344" s="61">
        <v>46022</v>
      </c>
      <c r="H344" s="52">
        <v>37938333</v>
      </c>
      <c r="I344" s="52" t="s">
        <v>903</v>
      </c>
      <c r="J344" s="58">
        <v>3793833</v>
      </c>
      <c r="K344" s="53">
        <f t="shared" si="15"/>
        <v>34144500</v>
      </c>
      <c r="L344" s="54">
        <f t="shared" si="16"/>
        <v>9.9999992092430601E-2</v>
      </c>
      <c r="M344" s="12">
        <v>0</v>
      </c>
      <c r="N344" s="52"/>
      <c r="O344" s="9"/>
    </row>
    <row r="345" spans="1:15" ht="90">
      <c r="A345" s="60" t="s">
        <v>831</v>
      </c>
      <c r="B345" s="60">
        <v>1010205434</v>
      </c>
      <c r="C345" s="60">
        <v>1</v>
      </c>
      <c r="D345" s="60" t="s">
        <v>878</v>
      </c>
      <c r="E345" s="60">
        <v>337</v>
      </c>
      <c r="F345" s="62">
        <v>45855</v>
      </c>
      <c r="G345" s="61">
        <v>46020</v>
      </c>
      <c r="H345" s="52">
        <v>45320000</v>
      </c>
      <c r="I345" s="52">
        <v>8240000</v>
      </c>
      <c r="J345" s="58">
        <v>3845333</v>
      </c>
      <c r="K345" s="53">
        <f t="shared" si="15"/>
        <v>41474667</v>
      </c>
      <c r="L345" s="54">
        <f t="shared" si="16"/>
        <v>8.4848477493380425E-2</v>
      </c>
      <c r="M345" s="12">
        <v>0</v>
      </c>
      <c r="N345" s="52"/>
      <c r="O345" s="9"/>
    </row>
    <row r="346" spans="1:15" ht="60">
      <c r="A346" s="60" t="s">
        <v>832</v>
      </c>
      <c r="B346" s="60">
        <v>1020816603</v>
      </c>
      <c r="C346" s="60">
        <v>8</v>
      </c>
      <c r="D346" s="60" t="s">
        <v>879</v>
      </c>
      <c r="E346" s="60">
        <v>338</v>
      </c>
      <c r="F346" s="62">
        <v>45853</v>
      </c>
      <c r="G346" s="61">
        <v>46022</v>
      </c>
      <c r="H346" s="52">
        <v>23652233</v>
      </c>
      <c r="I346" s="52">
        <v>4274500</v>
      </c>
      <c r="J346" s="58">
        <v>2279733</v>
      </c>
      <c r="K346" s="53">
        <f t="shared" si="15"/>
        <v>21372500</v>
      </c>
      <c r="L346" s="54">
        <f t="shared" si="16"/>
        <v>9.6385529433943962E-2</v>
      </c>
      <c r="M346" s="12">
        <v>0</v>
      </c>
      <c r="N346" s="52"/>
      <c r="O346" s="9"/>
    </row>
    <row r="347" spans="1:15" ht="105">
      <c r="A347" s="60" t="s">
        <v>833</v>
      </c>
      <c r="B347" s="60">
        <v>91078248</v>
      </c>
      <c r="C347" s="60">
        <v>6</v>
      </c>
      <c r="D347" s="60" t="s">
        <v>880</v>
      </c>
      <c r="E347" s="60">
        <v>339</v>
      </c>
      <c r="F347" s="62">
        <v>45866</v>
      </c>
      <c r="G347" s="61">
        <v>46022</v>
      </c>
      <c r="H347" s="52">
        <v>28325000</v>
      </c>
      <c r="I347" s="52" t="s">
        <v>904</v>
      </c>
      <c r="J347" s="58"/>
      <c r="K347" s="53">
        <f t="shared" si="15"/>
        <v>28325000</v>
      </c>
      <c r="L347" s="54">
        <f t="shared" si="16"/>
        <v>0</v>
      </c>
      <c r="M347" s="12">
        <v>0</v>
      </c>
      <c r="N347" s="52"/>
      <c r="O347" s="9"/>
    </row>
    <row r="348" spans="1:15" ht="60">
      <c r="A348" s="60" t="s">
        <v>834</v>
      </c>
      <c r="B348" s="60">
        <v>1110587513</v>
      </c>
      <c r="C348" s="60">
        <v>6</v>
      </c>
      <c r="D348" s="60" t="s">
        <v>881</v>
      </c>
      <c r="E348" s="60">
        <v>340</v>
      </c>
      <c r="F348" s="62">
        <v>45856</v>
      </c>
      <c r="G348" s="61">
        <v>46022</v>
      </c>
      <c r="H348" s="52">
        <v>31346333</v>
      </c>
      <c r="I348" s="52">
        <v>5665000</v>
      </c>
      <c r="J348" s="58">
        <v>2454833</v>
      </c>
      <c r="K348" s="53">
        <f t="shared" ref="K348:K365" si="17">H348-J348</f>
        <v>28891500</v>
      </c>
      <c r="L348" s="54">
        <f t="shared" ref="L348:L365" si="18">1-(K348/H348)</f>
        <v>7.8313243210936356E-2</v>
      </c>
      <c r="M348" s="12">
        <v>0</v>
      </c>
      <c r="N348" s="52"/>
      <c r="O348" s="9"/>
    </row>
    <row r="349" spans="1:15" ht="90">
      <c r="A349" s="60" t="s">
        <v>835</v>
      </c>
      <c r="B349" s="60">
        <v>1108929760</v>
      </c>
      <c r="C349" s="60">
        <v>0</v>
      </c>
      <c r="D349" s="60" t="s">
        <v>882</v>
      </c>
      <c r="E349" s="60">
        <v>341</v>
      </c>
      <c r="F349" s="62">
        <v>45854</v>
      </c>
      <c r="G349" s="61">
        <v>46022</v>
      </c>
      <c r="H349" s="52">
        <v>45320000</v>
      </c>
      <c r="I349" s="52" t="s">
        <v>905</v>
      </c>
      <c r="J349" s="58">
        <v>4120000</v>
      </c>
      <c r="K349" s="53">
        <f t="shared" si="17"/>
        <v>41200000</v>
      </c>
      <c r="L349" s="54">
        <f t="shared" si="18"/>
        <v>9.0909090909090939E-2</v>
      </c>
      <c r="M349" s="12">
        <v>0</v>
      </c>
      <c r="N349" s="52"/>
      <c r="O349" s="9"/>
    </row>
    <row r="350" spans="1:15" ht="75">
      <c r="A350" s="60" t="s">
        <v>836</v>
      </c>
      <c r="B350" s="60">
        <v>80016002</v>
      </c>
      <c r="C350" s="60">
        <v>6</v>
      </c>
      <c r="D350" s="60" t="s">
        <v>883</v>
      </c>
      <c r="E350" s="60">
        <v>342</v>
      </c>
      <c r="F350" s="62">
        <v>45855</v>
      </c>
      <c r="G350" s="61">
        <v>46022</v>
      </c>
      <c r="H350" s="52">
        <v>47860667</v>
      </c>
      <c r="I350" s="52" t="s">
        <v>906</v>
      </c>
      <c r="J350" s="58">
        <v>4085667</v>
      </c>
      <c r="K350" s="53">
        <f t="shared" si="17"/>
        <v>43775000</v>
      </c>
      <c r="L350" s="54">
        <f t="shared" si="18"/>
        <v>8.536586002865354E-2</v>
      </c>
      <c r="M350" s="12">
        <v>0</v>
      </c>
      <c r="N350" s="52"/>
      <c r="O350" s="9"/>
    </row>
    <row r="351" spans="1:15" ht="75">
      <c r="A351" s="60" t="s">
        <v>837</v>
      </c>
      <c r="B351" s="60">
        <v>1123621206</v>
      </c>
      <c r="C351" s="60">
        <v>2</v>
      </c>
      <c r="D351" s="60" t="s">
        <v>884</v>
      </c>
      <c r="E351" s="60">
        <v>343</v>
      </c>
      <c r="F351" s="62">
        <v>45866</v>
      </c>
      <c r="G351" s="61">
        <v>46022</v>
      </c>
      <c r="H351" s="52">
        <v>61559667</v>
      </c>
      <c r="I351" s="52">
        <v>11330000</v>
      </c>
      <c r="J351" s="58"/>
      <c r="K351" s="53">
        <f t="shared" si="17"/>
        <v>61559667</v>
      </c>
      <c r="L351" s="54">
        <f t="shared" si="18"/>
        <v>0</v>
      </c>
      <c r="M351" s="12">
        <v>0</v>
      </c>
      <c r="N351" s="52"/>
      <c r="O351" s="9"/>
    </row>
    <row r="352" spans="1:15" ht="60">
      <c r="A352" s="60" t="s">
        <v>838</v>
      </c>
      <c r="B352" s="60">
        <v>1033792125</v>
      </c>
      <c r="C352" s="60">
        <v>0</v>
      </c>
      <c r="D352" s="60" t="s">
        <v>885</v>
      </c>
      <c r="E352" s="60">
        <v>344</v>
      </c>
      <c r="F352" s="62">
        <v>45866</v>
      </c>
      <c r="G352" s="61">
        <v>46022</v>
      </c>
      <c r="H352" s="52">
        <v>10099150</v>
      </c>
      <c r="I352" s="52">
        <v>10099150</v>
      </c>
      <c r="J352" s="58">
        <v>190500</v>
      </c>
      <c r="K352" s="53">
        <f t="shared" si="17"/>
        <v>9908650</v>
      </c>
      <c r="L352" s="54">
        <f t="shared" si="18"/>
        <v>1.8862973616591505E-2</v>
      </c>
      <c r="M352" s="12">
        <v>0</v>
      </c>
      <c r="N352" s="52"/>
      <c r="O352" s="9"/>
    </row>
    <row r="353" spans="1:15" ht="75">
      <c r="A353" s="60" t="s">
        <v>839</v>
      </c>
      <c r="B353" s="60">
        <v>52366619</v>
      </c>
      <c r="C353" s="60">
        <v>9</v>
      </c>
      <c r="D353" s="60" t="s">
        <v>886</v>
      </c>
      <c r="E353" s="60">
        <v>345</v>
      </c>
      <c r="F353" s="62">
        <v>45856</v>
      </c>
      <c r="G353" s="61">
        <v>46022</v>
      </c>
      <c r="H353" s="52">
        <v>61937333</v>
      </c>
      <c r="I353" s="52">
        <v>11330000</v>
      </c>
      <c r="J353" s="58">
        <v>4909667</v>
      </c>
      <c r="K353" s="53">
        <f t="shared" si="17"/>
        <v>57027666</v>
      </c>
      <c r="L353" s="54">
        <f t="shared" si="18"/>
        <v>7.9268298491315448E-2</v>
      </c>
      <c r="M353" s="12">
        <v>0</v>
      </c>
      <c r="N353" s="52"/>
      <c r="O353" s="9"/>
    </row>
    <row r="354" spans="1:15" ht="60">
      <c r="A354" s="60" t="s">
        <v>477</v>
      </c>
      <c r="B354" s="60">
        <v>15435023</v>
      </c>
      <c r="C354" s="60">
        <v>1</v>
      </c>
      <c r="D354" s="60" t="s">
        <v>887</v>
      </c>
      <c r="E354" s="60">
        <v>346</v>
      </c>
      <c r="F354" s="62">
        <v>45863</v>
      </c>
      <c r="G354" s="61">
        <v>46022</v>
      </c>
      <c r="H354" s="52">
        <v>33578000</v>
      </c>
      <c r="I354" s="52" t="s">
        <v>907</v>
      </c>
      <c r="J354" s="58"/>
      <c r="K354" s="53">
        <f t="shared" si="17"/>
        <v>33578000</v>
      </c>
      <c r="L354" s="54">
        <f t="shared" si="18"/>
        <v>0</v>
      </c>
      <c r="M354" s="12">
        <v>0</v>
      </c>
      <c r="N354" s="52"/>
      <c r="O354" s="9"/>
    </row>
    <row r="355" spans="1:15" ht="90">
      <c r="A355" s="60" t="s">
        <v>840</v>
      </c>
      <c r="B355" s="60">
        <v>1010220150</v>
      </c>
      <c r="C355" s="60">
        <v>8</v>
      </c>
      <c r="D355" s="60" t="s">
        <v>888</v>
      </c>
      <c r="E355" s="60">
        <v>347</v>
      </c>
      <c r="F355" s="62">
        <v>45856</v>
      </c>
      <c r="G355" s="61">
        <v>46022</v>
      </c>
      <c r="H355" s="52">
        <v>50926633</v>
      </c>
      <c r="I355" s="52">
        <v>9373000</v>
      </c>
      <c r="J355" s="58">
        <v>4061633</v>
      </c>
      <c r="K355" s="53">
        <f t="shared" si="17"/>
        <v>46865000</v>
      </c>
      <c r="L355" s="54">
        <f t="shared" si="18"/>
        <v>7.9754595203653023E-2</v>
      </c>
      <c r="M355" s="12">
        <v>0</v>
      </c>
      <c r="N355" s="52"/>
      <c r="O355" s="9"/>
    </row>
    <row r="356" spans="1:15" ht="60">
      <c r="A356" s="60" t="s">
        <v>841</v>
      </c>
      <c r="B356" s="60">
        <v>80830923</v>
      </c>
      <c r="C356" s="60">
        <v>5</v>
      </c>
      <c r="D356" s="60" t="s">
        <v>889</v>
      </c>
      <c r="E356" s="60">
        <v>348</v>
      </c>
      <c r="F356" s="62">
        <v>45867</v>
      </c>
      <c r="G356" s="61">
        <v>46022</v>
      </c>
      <c r="H356" s="52">
        <v>47489867</v>
      </c>
      <c r="I356" s="52">
        <v>9373000</v>
      </c>
      <c r="J356" s="58">
        <v>624867</v>
      </c>
      <c r="K356" s="53">
        <f t="shared" si="17"/>
        <v>46865000</v>
      </c>
      <c r="L356" s="54">
        <f t="shared" si="18"/>
        <v>1.3157901663527483E-2</v>
      </c>
      <c r="M356" s="12">
        <v>0</v>
      </c>
      <c r="N356" s="52"/>
      <c r="O356" s="9"/>
    </row>
    <row r="357" spans="1:15" ht="90">
      <c r="A357" s="60" t="s">
        <v>842</v>
      </c>
      <c r="B357" s="60">
        <v>1086018511</v>
      </c>
      <c r="C357" s="60">
        <v>5</v>
      </c>
      <c r="D357" s="60" t="s">
        <v>890</v>
      </c>
      <c r="E357" s="60">
        <v>349</v>
      </c>
      <c r="F357" s="62">
        <v>45860</v>
      </c>
      <c r="G357" s="61">
        <v>46022</v>
      </c>
      <c r="H357" s="52">
        <v>35483500</v>
      </c>
      <c r="I357" s="52">
        <v>6695000</v>
      </c>
      <c r="J357" s="58">
        <v>2008500</v>
      </c>
      <c r="K357" s="53">
        <f t="shared" si="17"/>
        <v>33475000</v>
      </c>
      <c r="L357" s="54">
        <f t="shared" si="18"/>
        <v>5.6603773584905648E-2</v>
      </c>
      <c r="M357" s="12">
        <v>0</v>
      </c>
      <c r="N357" s="52"/>
      <c r="O357" s="9"/>
    </row>
    <row r="358" spans="1:15" ht="75">
      <c r="A358" s="60" t="s">
        <v>843</v>
      </c>
      <c r="B358" s="60">
        <v>15443887</v>
      </c>
      <c r="C358" s="60">
        <v>1</v>
      </c>
      <c r="D358" s="60" t="s">
        <v>891</v>
      </c>
      <c r="E358" s="60">
        <v>350</v>
      </c>
      <c r="F358" s="62">
        <v>45861</v>
      </c>
      <c r="G358" s="61">
        <v>46022</v>
      </c>
      <c r="H358" s="52">
        <v>38213000</v>
      </c>
      <c r="I358" s="52">
        <v>7210000</v>
      </c>
      <c r="J358" s="58"/>
      <c r="K358" s="53">
        <f t="shared" si="17"/>
        <v>38213000</v>
      </c>
      <c r="L358" s="54">
        <f t="shared" si="18"/>
        <v>0</v>
      </c>
      <c r="M358" s="12">
        <v>0</v>
      </c>
      <c r="N358" s="52"/>
      <c r="O358" s="9"/>
    </row>
    <row r="359" spans="1:15" ht="135">
      <c r="A359" s="60" t="s">
        <v>844</v>
      </c>
      <c r="B359" s="60">
        <v>1085280524</v>
      </c>
      <c r="C359" s="60">
        <v>8</v>
      </c>
      <c r="D359" s="60" t="s">
        <v>892</v>
      </c>
      <c r="E359" s="60">
        <v>351</v>
      </c>
      <c r="F359" s="62">
        <v>45859</v>
      </c>
      <c r="G359" s="61">
        <v>46022</v>
      </c>
      <c r="H359" s="52">
        <v>49989333</v>
      </c>
      <c r="I359" s="52">
        <v>9373000</v>
      </c>
      <c r="J359" s="58">
        <v>3124333</v>
      </c>
      <c r="K359" s="53">
        <f t="shared" si="17"/>
        <v>46865000</v>
      </c>
      <c r="L359" s="54">
        <f t="shared" si="18"/>
        <v>6.2499993748666327E-2</v>
      </c>
      <c r="M359" s="12">
        <v>0</v>
      </c>
      <c r="N359" s="52"/>
      <c r="O359" s="9"/>
    </row>
    <row r="360" spans="1:15" ht="60">
      <c r="A360" s="60" t="s">
        <v>845</v>
      </c>
      <c r="B360" s="60">
        <v>59835394</v>
      </c>
      <c r="C360" s="60">
        <v>5</v>
      </c>
      <c r="D360" s="60" t="s">
        <v>893</v>
      </c>
      <c r="E360" s="60">
        <v>352</v>
      </c>
      <c r="F360" s="62">
        <v>45881</v>
      </c>
      <c r="G360" s="61">
        <v>46022</v>
      </c>
      <c r="H360" s="52">
        <v>35706667</v>
      </c>
      <c r="I360" s="52">
        <v>6695000</v>
      </c>
      <c r="J360" s="58"/>
      <c r="K360" s="53">
        <f t="shared" si="17"/>
        <v>35706667</v>
      </c>
      <c r="L360" s="54">
        <f t="shared" si="18"/>
        <v>0</v>
      </c>
      <c r="M360" s="12">
        <v>0</v>
      </c>
      <c r="N360" s="52"/>
      <c r="O360" s="9"/>
    </row>
    <row r="361" spans="1:15" ht="75">
      <c r="A361" s="60" t="s">
        <v>303</v>
      </c>
      <c r="B361" s="60">
        <v>1069715425</v>
      </c>
      <c r="C361" s="60">
        <v>8</v>
      </c>
      <c r="D361" s="60" t="s">
        <v>894</v>
      </c>
      <c r="E361" s="60">
        <v>353</v>
      </c>
      <c r="F361" s="62">
        <v>45859</v>
      </c>
      <c r="G361" s="61">
        <v>46022</v>
      </c>
      <c r="H361" s="52">
        <v>19776000</v>
      </c>
      <c r="I361" s="52">
        <v>3708000</v>
      </c>
      <c r="J361" s="58">
        <v>1236000</v>
      </c>
      <c r="K361" s="53">
        <f t="shared" si="17"/>
        <v>18540000</v>
      </c>
      <c r="L361" s="54">
        <f t="shared" si="18"/>
        <v>6.25E-2</v>
      </c>
      <c r="M361" s="12">
        <v>0</v>
      </c>
      <c r="N361" s="52"/>
      <c r="O361" s="9"/>
    </row>
    <row r="362" spans="1:15" ht="75">
      <c r="A362" s="60" t="s">
        <v>846</v>
      </c>
      <c r="B362" s="60">
        <v>84079959</v>
      </c>
      <c r="C362" s="60">
        <v>3</v>
      </c>
      <c r="D362" s="60" t="s">
        <v>895</v>
      </c>
      <c r="E362" s="60">
        <v>354</v>
      </c>
      <c r="F362" s="62">
        <v>45873</v>
      </c>
      <c r="G362" s="61">
        <v>46022</v>
      </c>
      <c r="H362" s="52">
        <v>49676900</v>
      </c>
      <c r="I362" s="52">
        <v>9373000</v>
      </c>
      <c r="J362" s="58"/>
      <c r="K362" s="53">
        <f t="shared" si="17"/>
        <v>49676900</v>
      </c>
      <c r="L362" s="54">
        <f t="shared" si="18"/>
        <v>0</v>
      </c>
      <c r="M362" s="12">
        <v>0</v>
      </c>
      <c r="N362" s="52"/>
      <c r="O362" s="9"/>
    </row>
    <row r="363" spans="1:15" ht="90">
      <c r="A363" s="60" t="s">
        <v>847</v>
      </c>
      <c r="B363" s="60">
        <v>1000472948</v>
      </c>
      <c r="C363" s="60">
        <v>2</v>
      </c>
      <c r="D363" s="60" t="s">
        <v>896</v>
      </c>
      <c r="E363" s="60">
        <v>355</v>
      </c>
      <c r="F363" s="62">
        <v>45867</v>
      </c>
      <c r="G363" s="61">
        <v>46022</v>
      </c>
      <c r="H363" s="52">
        <v>19652400</v>
      </c>
      <c r="I363" s="52" t="s">
        <v>908</v>
      </c>
      <c r="J363" s="58">
        <v>247200</v>
      </c>
      <c r="K363" s="53">
        <f t="shared" si="17"/>
        <v>19405200</v>
      </c>
      <c r="L363" s="54">
        <f t="shared" si="18"/>
        <v>1.2578616352201255E-2</v>
      </c>
      <c r="M363" s="12">
        <v>0</v>
      </c>
      <c r="N363" s="52"/>
      <c r="O363" s="9"/>
    </row>
    <row r="364" spans="1:15" ht="60">
      <c r="A364" s="60" t="s">
        <v>848</v>
      </c>
      <c r="B364" s="60">
        <v>12754270</v>
      </c>
      <c r="C364" s="60">
        <v>1</v>
      </c>
      <c r="D364" s="60" t="s">
        <v>897</v>
      </c>
      <c r="E364" s="60">
        <v>356</v>
      </c>
      <c r="F364" s="60"/>
      <c r="G364" s="61">
        <v>45961</v>
      </c>
      <c r="H364" s="52">
        <v>9900000</v>
      </c>
      <c r="I364" s="52">
        <v>3300000</v>
      </c>
      <c r="J364" s="58"/>
      <c r="K364" s="53">
        <f t="shared" si="17"/>
        <v>9900000</v>
      </c>
      <c r="L364" s="54">
        <f t="shared" si="18"/>
        <v>0</v>
      </c>
      <c r="M364" s="12">
        <v>0</v>
      </c>
      <c r="N364" s="52"/>
      <c r="O364" s="9"/>
    </row>
    <row r="365" spans="1:15" ht="105">
      <c r="A365" s="60" t="s">
        <v>849</v>
      </c>
      <c r="B365" s="60">
        <v>79589809</v>
      </c>
      <c r="C365" s="60">
        <v>7</v>
      </c>
      <c r="D365" s="60" t="s">
        <v>898</v>
      </c>
      <c r="E365" s="60">
        <v>357</v>
      </c>
      <c r="F365" s="62">
        <v>45862</v>
      </c>
      <c r="G365" s="61">
        <v>46022</v>
      </c>
      <c r="H365" s="52">
        <v>49052033</v>
      </c>
      <c r="I365" s="52">
        <v>9373000</v>
      </c>
      <c r="J365" s="58">
        <v>2187033</v>
      </c>
      <c r="K365" s="53">
        <f t="shared" si="17"/>
        <v>46865000</v>
      </c>
      <c r="L365" s="54">
        <f t="shared" si="18"/>
        <v>4.4585980768625855E-2</v>
      </c>
      <c r="M365" s="12">
        <v>0</v>
      </c>
      <c r="N365" s="52"/>
      <c r="O365" s="9"/>
    </row>
    <row r="366" spans="1:15">
      <c r="J366"/>
    </row>
    <row r="367" spans="1:15">
      <c r="J367"/>
    </row>
    <row r="368" spans="1:15">
      <c r="J368"/>
    </row>
    <row r="369" spans="10:10">
      <c r="J369"/>
    </row>
    <row r="370" spans="10:10">
      <c r="J370"/>
    </row>
    <row r="371" spans="10:10">
      <c r="J371"/>
    </row>
    <row r="372" spans="10:10">
      <c r="J372"/>
    </row>
    <row r="373" spans="10:10">
      <c r="J373"/>
    </row>
    <row r="374" spans="10:10">
      <c r="J374"/>
    </row>
    <row r="375" spans="10:10">
      <c r="J375"/>
    </row>
    <row r="376" spans="10:10">
      <c r="J376"/>
    </row>
    <row r="377" spans="10:10">
      <c r="J377"/>
    </row>
    <row r="378" spans="10:10">
      <c r="J378"/>
    </row>
    <row r="379" spans="10:10">
      <c r="J379"/>
    </row>
    <row r="380" spans="10:10">
      <c r="J380"/>
    </row>
    <row r="381" spans="10:10">
      <c r="J381"/>
    </row>
    <row r="382" spans="10:10">
      <c r="J382"/>
    </row>
    <row r="383" spans="10:10">
      <c r="J383"/>
    </row>
    <row r="384" spans="10:10">
      <c r="J384"/>
    </row>
    <row r="385" spans="10:10">
      <c r="J385"/>
    </row>
    <row r="386" spans="10:10">
      <c r="J386"/>
    </row>
    <row r="387" spans="10:10">
      <c r="J387"/>
    </row>
    <row r="388" spans="10:10">
      <c r="J388"/>
    </row>
    <row r="389" spans="10:10">
      <c r="J389"/>
    </row>
    <row r="390" spans="10:10">
      <c r="J390"/>
    </row>
    <row r="391" spans="10:10">
      <c r="J391"/>
    </row>
    <row r="392" spans="10:10">
      <c r="J392"/>
    </row>
    <row r="393" spans="10:10">
      <c r="J393"/>
    </row>
    <row r="394" spans="10:10">
      <c r="J394"/>
    </row>
    <row r="395" spans="10:10">
      <c r="J395"/>
    </row>
    <row r="396" spans="10:10">
      <c r="J396"/>
    </row>
    <row r="397" spans="10:10">
      <c r="J397"/>
    </row>
    <row r="398" spans="10:10">
      <c r="J398"/>
    </row>
    <row r="399" spans="10:10">
      <c r="J399"/>
    </row>
    <row r="400" spans="10:10">
      <c r="J400"/>
    </row>
    <row r="401" spans="10:10">
      <c r="J401"/>
    </row>
    <row r="402" spans="10:10">
      <c r="J402"/>
    </row>
    <row r="403" spans="10:10">
      <c r="J403"/>
    </row>
    <row r="404" spans="10:10">
      <c r="J404"/>
    </row>
    <row r="405" spans="10:10">
      <c r="J405"/>
    </row>
    <row r="406" spans="10:10">
      <c r="J406"/>
    </row>
    <row r="407" spans="10:10">
      <c r="J407"/>
    </row>
    <row r="408" spans="10:10">
      <c r="J408"/>
    </row>
    <row r="409" spans="10:10">
      <c r="J409"/>
    </row>
    <row r="410" spans="10:10">
      <c r="J410"/>
    </row>
    <row r="411" spans="10:10">
      <c r="J411"/>
    </row>
    <row r="412" spans="10:10">
      <c r="J412"/>
    </row>
    <row r="413" spans="10:10">
      <c r="J413"/>
    </row>
    <row r="414" spans="10:10">
      <c r="J414"/>
    </row>
    <row r="415" spans="10:10">
      <c r="J415"/>
    </row>
    <row r="416" spans="10:10">
      <c r="J416"/>
    </row>
    <row r="417" spans="10:10">
      <c r="J417"/>
    </row>
    <row r="418" spans="10:10">
      <c r="J418"/>
    </row>
    <row r="419" spans="10:10">
      <c r="J419"/>
    </row>
    <row r="420" spans="10:10">
      <c r="J420"/>
    </row>
    <row r="421" spans="10:10">
      <c r="J421"/>
    </row>
    <row r="422" spans="10:10">
      <c r="J422"/>
    </row>
    <row r="423" spans="10:10">
      <c r="J423"/>
    </row>
    <row r="424" spans="10:10">
      <c r="J424"/>
    </row>
    <row r="425" spans="10:10">
      <c r="J425"/>
    </row>
    <row r="426" spans="10:10">
      <c r="J426"/>
    </row>
    <row r="427" spans="10:10">
      <c r="J427"/>
    </row>
    <row r="428" spans="10:10">
      <c r="J428"/>
    </row>
    <row r="429" spans="10:10">
      <c r="J429"/>
    </row>
    <row r="430" spans="10:10">
      <c r="J430"/>
    </row>
    <row r="431" spans="10:10">
      <c r="J431"/>
    </row>
    <row r="432" spans="10:10">
      <c r="J432"/>
    </row>
    <row r="433" spans="10:10">
      <c r="J433"/>
    </row>
    <row r="434" spans="10:10">
      <c r="J434"/>
    </row>
    <row r="435" spans="10:10">
      <c r="J435"/>
    </row>
    <row r="436" spans="10:10">
      <c r="J436"/>
    </row>
    <row r="437" spans="10:10">
      <c r="J437"/>
    </row>
    <row r="438" spans="10:10">
      <c r="J438"/>
    </row>
    <row r="439" spans="10:10">
      <c r="J439"/>
    </row>
    <row r="440" spans="10:10">
      <c r="J440"/>
    </row>
    <row r="441" spans="10:10">
      <c r="J441"/>
    </row>
    <row r="442" spans="10:10">
      <c r="J442"/>
    </row>
    <row r="443" spans="10:10">
      <c r="J443"/>
    </row>
    <row r="444" spans="10:10">
      <c r="J444"/>
    </row>
    <row r="445" spans="10:10">
      <c r="J445"/>
    </row>
    <row r="446" spans="10:10">
      <c r="J446"/>
    </row>
    <row r="447" spans="10:10">
      <c r="J447"/>
    </row>
    <row r="448" spans="10:10">
      <c r="J448"/>
    </row>
    <row r="449" spans="10:10">
      <c r="J449"/>
    </row>
    <row r="450" spans="10:10">
      <c r="J450"/>
    </row>
    <row r="451" spans="10:10">
      <c r="J451"/>
    </row>
    <row r="452" spans="10:10">
      <c r="J452"/>
    </row>
    <row r="453" spans="10:10">
      <c r="J453"/>
    </row>
    <row r="454" spans="10:10">
      <c r="J454"/>
    </row>
    <row r="455" spans="10:10">
      <c r="J455"/>
    </row>
    <row r="456" spans="10:10">
      <c r="J456"/>
    </row>
    <row r="457" spans="10:10">
      <c r="J457"/>
    </row>
    <row r="458" spans="10:10">
      <c r="J458"/>
    </row>
    <row r="459" spans="10:10">
      <c r="J459"/>
    </row>
    <row r="460" spans="10:10">
      <c r="J460"/>
    </row>
    <row r="461" spans="10:10">
      <c r="J461"/>
    </row>
    <row r="462" spans="10:10">
      <c r="J462"/>
    </row>
    <row r="463" spans="10:10">
      <c r="J463"/>
    </row>
    <row r="464" spans="10:10">
      <c r="J464"/>
    </row>
    <row r="465" spans="10:10">
      <c r="J465"/>
    </row>
    <row r="466" spans="10:10">
      <c r="J466"/>
    </row>
    <row r="467" spans="10:10">
      <c r="J467"/>
    </row>
    <row r="468" spans="10:10">
      <c r="J468"/>
    </row>
    <row r="469" spans="10:10">
      <c r="J469"/>
    </row>
    <row r="470" spans="10:10">
      <c r="J470"/>
    </row>
    <row r="471" spans="10:10">
      <c r="J471"/>
    </row>
    <row r="472" spans="10:10">
      <c r="J472"/>
    </row>
    <row r="473" spans="10:10">
      <c r="J473"/>
    </row>
    <row r="474" spans="10:10">
      <c r="J474"/>
    </row>
    <row r="475" spans="10:10">
      <c r="J475"/>
    </row>
    <row r="476" spans="10:10">
      <c r="J476"/>
    </row>
    <row r="477" spans="10:10">
      <c r="J477"/>
    </row>
    <row r="478" spans="10:10">
      <c r="J478"/>
    </row>
    <row r="479" spans="10:10">
      <c r="J479"/>
    </row>
    <row r="480" spans="10:10">
      <c r="J480"/>
    </row>
    <row r="481" spans="10:10">
      <c r="J481"/>
    </row>
    <row r="482" spans="10:10">
      <c r="J482"/>
    </row>
    <row r="483" spans="10:10">
      <c r="J483"/>
    </row>
    <row r="484" spans="10:10">
      <c r="J484"/>
    </row>
    <row r="485" spans="10:10">
      <c r="J485"/>
    </row>
    <row r="486" spans="10:10">
      <c r="J486"/>
    </row>
    <row r="487" spans="10:10">
      <c r="J487"/>
    </row>
    <row r="488" spans="10:10">
      <c r="J488"/>
    </row>
    <row r="489" spans="10:10">
      <c r="J489"/>
    </row>
    <row r="490" spans="10:10">
      <c r="J490"/>
    </row>
    <row r="491" spans="10:10">
      <c r="J491"/>
    </row>
    <row r="492" spans="10:10">
      <c r="J492"/>
    </row>
    <row r="493" spans="10:10">
      <c r="J493"/>
    </row>
    <row r="494" spans="10:10">
      <c r="J494"/>
    </row>
    <row r="495" spans="10:10">
      <c r="J495"/>
    </row>
    <row r="496" spans="10:10">
      <c r="J496"/>
    </row>
    <row r="497" spans="10:10">
      <c r="J497"/>
    </row>
    <row r="498" spans="10:10">
      <c r="J498"/>
    </row>
    <row r="499" spans="10:10">
      <c r="J499"/>
    </row>
    <row r="500" spans="10:10">
      <c r="J500"/>
    </row>
    <row r="501" spans="10:10">
      <c r="J501"/>
    </row>
    <row r="502" spans="10:10">
      <c r="J502"/>
    </row>
    <row r="503" spans="10:10">
      <c r="J503"/>
    </row>
    <row r="504" spans="10:10">
      <c r="J504"/>
    </row>
    <row r="505" spans="10:10">
      <c r="J505"/>
    </row>
    <row r="506" spans="10:10">
      <c r="J506"/>
    </row>
    <row r="507" spans="10:10">
      <c r="J507"/>
    </row>
    <row r="508" spans="10:10">
      <c r="J508"/>
    </row>
    <row r="509" spans="10:10">
      <c r="J509"/>
    </row>
    <row r="510" spans="10:10">
      <c r="J510"/>
    </row>
    <row r="511" spans="10:10">
      <c r="J511"/>
    </row>
    <row r="512" spans="10:10">
      <c r="J512"/>
    </row>
    <row r="513" spans="10:10">
      <c r="J513"/>
    </row>
    <row r="514" spans="10:10">
      <c r="J514"/>
    </row>
    <row r="515" spans="10:10">
      <c r="J515"/>
    </row>
    <row r="516" spans="10:10">
      <c r="J516"/>
    </row>
    <row r="517" spans="10:10">
      <c r="J517"/>
    </row>
    <row r="518" spans="10:10">
      <c r="J518"/>
    </row>
    <row r="519" spans="10:10">
      <c r="J519"/>
    </row>
    <row r="520" spans="10:10">
      <c r="J520"/>
    </row>
    <row r="521" spans="10:10">
      <c r="J521"/>
    </row>
    <row r="522" spans="10:10">
      <c r="J522"/>
    </row>
    <row r="523" spans="10:10">
      <c r="J523"/>
    </row>
    <row r="524" spans="10:10">
      <c r="J524"/>
    </row>
    <row r="525" spans="10:10">
      <c r="J525"/>
    </row>
    <row r="526" spans="10:10">
      <c r="J526"/>
    </row>
    <row r="527" spans="10:10">
      <c r="J527"/>
    </row>
    <row r="528" spans="10:10">
      <c r="J528"/>
    </row>
    <row r="529" spans="10:10">
      <c r="J529"/>
    </row>
    <row r="530" spans="10:10">
      <c r="J530"/>
    </row>
    <row r="531" spans="10:10">
      <c r="J531"/>
    </row>
    <row r="532" spans="10:10">
      <c r="J532"/>
    </row>
    <row r="533" spans="10:10">
      <c r="J533"/>
    </row>
    <row r="534" spans="10:10">
      <c r="J534"/>
    </row>
    <row r="535" spans="10:10">
      <c r="J535"/>
    </row>
    <row r="536" spans="10:10">
      <c r="J536"/>
    </row>
    <row r="537" spans="10:10">
      <c r="J537"/>
    </row>
    <row r="538" spans="10:10">
      <c r="J538"/>
    </row>
    <row r="539" spans="10:10">
      <c r="J539"/>
    </row>
    <row r="540" spans="10:10">
      <c r="J540"/>
    </row>
    <row r="541" spans="10:10">
      <c r="J541"/>
    </row>
    <row r="542" spans="10:10">
      <c r="J542"/>
    </row>
    <row r="543" spans="10:10">
      <c r="J543"/>
    </row>
    <row r="544" spans="10:10">
      <c r="J544"/>
    </row>
    <row r="545" spans="10:10">
      <c r="J545"/>
    </row>
    <row r="546" spans="10:10">
      <c r="J546"/>
    </row>
    <row r="547" spans="10:10">
      <c r="J547"/>
    </row>
    <row r="548" spans="10:10">
      <c r="J548"/>
    </row>
    <row r="549" spans="10:10">
      <c r="J549"/>
    </row>
    <row r="550" spans="10:10">
      <c r="J550"/>
    </row>
    <row r="551" spans="10:10">
      <c r="J551"/>
    </row>
    <row r="552" spans="10:10">
      <c r="J552"/>
    </row>
    <row r="553" spans="10:10">
      <c r="J553"/>
    </row>
    <row r="554" spans="10:10">
      <c r="J554"/>
    </row>
    <row r="555" spans="10:10">
      <c r="J555"/>
    </row>
    <row r="556" spans="10:10">
      <c r="J556"/>
    </row>
    <row r="557" spans="10:10">
      <c r="J557"/>
    </row>
    <row r="558" spans="10:10">
      <c r="J558"/>
    </row>
    <row r="559" spans="10:10">
      <c r="J559"/>
    </row>
    <row r="560" spans="10:10">
      <c r="J560"/>
    </row>
    <row r="561" spans="10:10">
      <c r="J561"/>
    </row>
    <row r="562" spans="10:10">
      <c r="J562"/>
    </row>
    <row r="563" spans="10:10">
      <c r="J563"/>
    </row>
    <row r="564" spans="10:10">
      <c r="J564"/>
    </row>
    <row r="565" spans="10:10">
      <c r="J565"/>
    </row>
    <row r="566" spans="10:10">
      <c r="J566"/>
    </row>
    <row r="567" spans="10:10">
      <c r="J567"/>
    </row>
    <row r="568" spans="10:10">
      <c r="J568"/>
    </row>
    <row r="569" spans="10:10">
      <c r="J569"/>
    </row>
    <row r="570" spans="10:10">
      <c r="J570"/>
    </row>
    <row r="571" spans="10:10">
      <c r="J571"/>
    </row>
    <row r="572" spans="10:10">
      <c r="J572"/>
    </row>
    <row r="573" spans="10:10">
      <c r="J573"/>
    </row>
    <row r="574" spans="10:10">
      <c r="J574"/>
    </row>
    <row r="575" spans="10:10">
      <c r="J575"/>
    </row>
    <row r="576" spans="10:10">
      <c r="J576"/>
    </row>
    <row r="577" spans="10:10">
      <c r="J577"/>
    </row>
    <row r="578" spans="10:10">
      <c r="J578"/>
    </row>
    <row r="579" spans="10:10">
      <c r="J579"/>
    </row>
    <row r="580" spans="10:10">
      <c r="J580"/>
    </row>
    <row r="581" spans="10:10">
      <c r="J581"/>
    </row>
    <row r="582" spans="10:10">
      <c r="J582"/>
    </row>
    <row r="583" spans="10:10">
      <c r="J583"/>
    </row>
    <row r="584" spans="10:10">
      <c r="J584"/>
    </row>
    <row r="585" spans="10:10">
      <c r="J585"/>
    </row>
    <row r="586" spans="10:10">
      <c r="J586"/>
    </row>
    <row r="587" spans="10:10">
      <c r="J587"/>
    </row>
    <row r="588" spans="10:10">
      <c r="J588"/>
    </row>
    <row r="589" spans="10:10">
      <c r="J589"/>
    </row>
    <row r="590" spans="10:10">
      <c r="J590"/>
    </row>
    <row r="591" spans="10:10">
      <c r="J591"/>
    </row>
    <row r="592" spans="10:10">
      <c r="J592"/>
    </row>
    <row r="593" spans="10:10">
      <c r="J593"/>
    </row>
    <row r="594" spans="10:10">
      <c r="J594"/>
    </row>
    <row r="595" spans="10:10">
      <c r="J595"/>
    </row>
    <row r="596" spans="10:10">
      <c r="J596"/>
    </row>
    <row r="597" spans="10:10">
      <c r="J597"/>
    </row>
    <row r="598" spans="10:10">
      <c r="J598"/>
    </row>
    <row r="599" spans="10:10">
      <c r="J599"/>
    </row>
    <row r="600" spans="10:10">
      <c r="J600"/>
    </row>
    <row r="601" spans="10:10">
      <c r="J601"/>
    </row>
    <row r="602" spans="10:10">
      <c r="J602"/>
    </row>
    <row r="603" spans="10:10">
      <c r="J603"/>
    </row>
    <row r="604" spans="10:10">
      <c r="J604"/>
    </row>
    <row r="605" spans="10:10">
      <c r="J605"/>
    </row>
    <row r="606" spans="10:10">
      <c r="J606"/>
    </row>
    <row r="607" spans="10:10">
      <c r="J607"/>
    </row>
    <row r="608" spans="10:10">
      <c r="J608"/>
    </row>
    <row r="609" spans="10:10">
      <c r="J609"/>
    </row>
    <row r="610" spans="10:10">
      <c r="J610"/>
    </row>
    <row r="611" spans="10:10">
      <c r="J611"/>
    </row>
    <row r="612" spans="10:10">
      <c r="J612"/>
    </row>
    <row r="613" spans="10:10">
      <c r="J613"/>
    </row>
    <row r="614" spans="10:10">
      <c r="J614"/>
    </row>
    <row r="615" spans="10:10">
      <c r="J615"/>
    </row>
    <row r="616" spans="10:10">
      <c r="J616"/>
    </row>
    <row r="617" spans="10:10">
      <c r="J617"/>
    </row>
    <row r="618" spans="10:10">
      <c r="J618"/>
    </row>
    <row r="619" spans="10:10">
      <c r="J619"/>
    </row>
    <row r="620" spans="10:10">
      <c r="J620"/>
    </row>
    <row r="621" spans="10:10">
      <c r="J621"/>
    </row>
    <row r="622" spans="10:10">
      <c r="J622"/>
    </row>
    <row r="623" spans="10:10">
      <c r="J623"/>
    </row>
    <row r="624" spans="10:10">
      <c r="J624"/>
    </row>
    <row r="625" spans="10:10">
      <c r="J625"/>
    </row>
    <row r="626" spans="10:10">
      <c r="J626"/>
    </row>
    <row r="627" spans="10:10">
      <c r="J627"/>
    </row>
    <row r="628" spans="10:10">
      <c r="J628"/>
    </row>
    <row r="629" spans="10:10">
      <c r="J629"/>
    </row>
    <row r="630" spans="10:10">
      <c r="J630"/>
    </row>
    <row r="631" spans="10:10">
      <c r="J631"/>
    </row>
    <row r="632" spans="10:10">
      <c r="J632"/>
    </row>
    <row r="633" spans="10:10">
      <c r="J633"/>
    </row>
    <row r="634" spans="10:10">
      <c r="J634"/>
    </row>
    <row r="635" spans="10:10">
      <c r="J635"/>
    </row>
    <row r="636" spans="10:10">
      <c r="J636"/>
    </row>
    <row r="637" spans="10:10">
      <c r="J637"/>
    </row>
    <row r="638" spans="10:10">
      <c r="J638"/>
    </row>
    <row r="639" spans="10:10">
      <c r="J639"/>
    </row>
    <row r="640" spans="10:10">
      <c r="J640"/>
    </row>
    <row r="641" spans="10:10">
      <c r="J641"/>
    </row>
    <row r="642" spans="10:10">
      <c r="J642"/>
    </row>
    <row r="643" spans="10:10">
      <c r="J643"/>
    </row>
    <row r="644" spans="10:10">
      <c r="J644"/>
    </row>
    <row r="645" spans="10:10">
      <c r="J645"/>
    </row>
    <row r="646" spans="10:10">
      <c r="J646"/>
    </row>
    <row r="647" spans="10:10">
      <c r="J647"/>
    </row>
    <row r="648" spans="10:10">
      <c r="J648"/>
    </row>
    <row r="649" spans="10:10">
      <c r="J649"/>
    </row>
    <row r="650" spans="10:10">
      <c r="J650"/>
    </row>
    <row r="651" spans="10:10">
      <c r="J651"/>
    </row>
    <row r="652" spans="10:10">
      <c r="J652"/>
    </row>
    <row r="653" spans="10:10">
      <c r="J653"/>
    </row>
    <row r="654" spans="10:10">
      <c r="J654"/>
    </row>
    <row r="655" spans="10:10">
      <c r="J655"/>
    </row>
    <row r="656" spans="10:10">
      <c r="J656"/>
    </row>
    <row r="657" spans="10:10">
      <c r="J657"/>
    </row>
    <row r="658" spans="10:10">
      <c r="J658"/>
    </row>
    <row r="659" spans="10:10">
      <c r="J659"/>
    </row>
    <row r="660" spans="10:10">
      <c r="J660"/>
    </row>
    <row r="661" spans="10:10">
      <c r="J661"/>
    </row>
    <row r="662" spans="10:10">
      <c r="J662"/>
    </row>
    <row r="663" spans="10:10">
      <c r="J663"/>
    </row>
    <row r="664" spans="10:10">
      <c r="J664"/>
    </row>
    <row r="665" spans="10:10">
      <c r="J665"/>
    </row>
    <row r="666" spans="10:10">
      <c r="J666"/>
    </row>
    <row r="667" spans="10:10">
      <c r="J667"/>
    </row>
    <row r="668" spans="10:10">
      <c r="J668"/>
    </row>
    <row r="669" spans="10:10">
      <c r="J669"/>
    </row>
    <row r="670" spans="10:10">
      <c r="J670"/>
    </row>
    <row r="671" spans="10:10">
      <c r="J671"/>
    </row>
    <row r="672" spans="10:10">
      <c r="J672"/>
    </row>
    <row r="673" spans="10:10">
      <c r="J673"/>
    </row>
    <row r="674" spans="10:10">
      <c r="J674"/>
    </row>
    <row r="675" spans="10:10">
      <c r="J675"/>
    </row>
    <row r="676" spans="10:10">
      <c r="J676"/>
    </row>
    <row r="677" spans="10:10">
      <c r="J677"/>
    </row>
    <row r="678" spans="10:10">
      <c r="J678"/>
    </row>
    <row r="679" spans="10:10">
      <c r="J679"/>
    </row>
    <row r="680" spans="10:10">
      <c r="J680"/>
    </row>
    <row r="681" spans="10:10">
      <c r="J681"/>
    </row>
    <row r="682" spans="10:10">
      <c r="J682"/>
    </row>
    <row r="683" spans="10:10">
      <c r="J683"/>
    </row>
    <row r="684" spans="10:10">
      <c r="J684"/>
    </row>
    <row r="685" spans="10:10">
      <c r="J685"/>
    </row>
    <row r="686" spans="10:10">
      <c r="J686"/>
    </row>
    <row r="687" spans="10:10">
      <c r="J687"/>
    </row>
    <row r="688" spans="10:10">
      <c r="J688"/>
    </row>
    <row r="689" spans="10:10">
      <c r="J689"/>
    </row>
    <row r="690" spans="10:10">
      <c r="J690"/>
    </row>
    <row r="691" spans="10:10">
      <c r="J691"/>
    </row>
    <row r="692" spans="10:10">
      <c r="J692"/>
    </row>
    <row r="693" spans="10:10">
      <c r="J693"/>
    </row>
    <row r="694" spans="10:10">
      <c r="J694"/>
    </row>
    <row r="695" spans="10:10">
      <c r="J695"/>
    </row>
    <row r="696" spans="10:10">
      <c r="J696"/>
    </row>
    <row r="697" spans="10:10">
      <c r="J697"/>
    </row>
    <row r="698" spans="10:10">
      <c r="J698"/>
    </row>
    <row r="699" spans="10:10">
      <c r="J699"/>
    </row>
    <row r="700" spans="10:10">
      <c r="J700"/>
    </row>
    <row r="701" spans="10:10">
      <c r="J701"/>
    </row>
    <row r="702" spans="10:10">
      <c r="J702"/>
    </row>
    <row r="703" spans="10:10">
      <c r="J703"/>
    </row>
    <row r="704" spans="10:10">
      <c r="J704"/>
    </row>
    <row r="705" spans="10:10">
      <c r="J705"/>
    </row>
    <row r="706" spans="10:10">
      <c r="J706"/>
    </row>
    <row r="707" spans="10:10">
      <c r="J707"/>
    </row>
    <row r="708" spans="10:10">
      <c r="J708"/>
    </row>
    <row r="709" spans="10:10">
      <c r="J709"/>
    </row>
    <row r="710" spans="10:10">
      <c r="J710"/>
    </row>
    <row r="711" spans="10:10">
      <c r="J711"/>
    </row>
    <row r="712" spans="10:10">
      <c r="J712"/>
    </row>
    <row r="713" spans="10:10">
      <c r="J713"/>
    </row>
    <row r="714" spans="10:10">
      <c r="J714"/>
    </row>
    <row r="715" spans="10:10">
      <c r="J715"/>
    </row>
    <row r="716" spans="10:10">
      <c r="J716"/>
    </row>
    <row r="717" spans="10:10">
      <c r="J717"/>
    </row>
    <row r="718" spans="10:10">
      <c r="J718"/>
    </row>
    <row r="719" spans="10:10">
      <c r="J719"/>
    </row>
    <row r="720" spans="10:10">
      <c r="J720"/>
    </row>
    <row r="721" spans="10:10">
      <c r="J721"/>
    </row>
    <row r="722" spans="10:10">
      <c r="J722"/>
    </row>
    <row r="723" spans="10:10">
      <c r="J723"/>
    </row>
    <row r="724" spans="10:10">
      <c r="J724"/>
    </row>
    <row r="725" spans="10:10">
      <c r="J725"/>
    </row>
    <row r="726" spans="10:10">
      <c r="J726"/>
    </row>
    <row r="727" spans="10:10">
      <c r="J727"/>
    </row>
    <row r="728" spans="10:10">
      <c r="J728"/>
    </row>
    <row r="729" spans="10:10">
      <c r="J729"/>
    </row>
    <row r="730" spans="10:10">
      <c r="J730"/>
    </row>
    <row r="731" spans="10:10">
      <c r="J731"/>
    </row>
    <row r="732" spans="10:10">
      <c r="J732"/>
    </row>
    <row r="733" spans="10:10">
      <c r="J733"/>
    </row>
    <row r="734" spans="10:10">
      <c r="J734"/>
    </row>
    <row r="735" spans="10:10">
      <c r="J735"/>
    </row>
    <row r="736" spans="10:10">
      <c r="J736"/>
    </row>
    <row r="737" spans="10:10">
      <c r="J737"/>
    </row>
    <row r="738" spans="10:10">
      <c r="J738"/>
    </row>
    <row r="739" spans="10:10">
      <c r="J739"/>
    </row>
    <row r="740" spans="10:10">
      <c r="J740"/>
    </row>
    <row r="741" spans="10:10">
      <c r="J741"/>
    </row>
    <row r="742" spans="10:10">
      <c r="J742"/>
    </row>
    <row r="743" spans="10:10">
      <c r="J743"/>
    </row>
    <row r="744" spans="10:10">
      <c r="J744"/>
    </row>
    <row r="745" spans="10:10">
      <c r="J745"/>
    </row>
    <row r="746" spans="10:10">
      <c r="J746"/>
    </row>
    <row r="747" spans="10:10">
      <c r="J747"/>
    </row>
    <row r="748" spans="10:10">
      <c r="J748"/>
    </row>
    <row r="749" spans="10:10">
      <c r="J749"/>
    </row>
    <row r="750" spans="10:10">
      <c r="J750"/>
    </row>
    <row r="751" spans="10:10">
      <c r="J751"/>
    </row>
    <row r="752" spans="10:10">
      <c r="J752"/>
    </row>
    <row r="753" spans="10:10">
      <c r="J753"/>
    </row>
    <row r="754" spans="10:10">
      <c r="J754"/>
    </row>
    <row r="755" spans="10:10">
      <c r="J755"/>
    </row>
    <row r="756" spans="10:10">
      <c r="J756"/>
    </row>
    <row r="757" spans="10:10">
      <c r="J757"/>
    </row>
    <row r="758" spans="10:10">
      <c r="J758"/>
    </row>
    <row r="759" spans="10:10">
      <c r="J759"/>
    </row>
    <row r="760" spans="10:10">
      <c r="J760"/>
    </row>
    <row r="761" spans="10:10">
      <c r="J761"/>
    </row>
    <row r="762" spans="10:10">
      <c r="J762"/>
    </row>
    <row r="763" spans="10:10">
      <c r="J763"/>
    </row>
    <row r="764" spans="10:10">
      <c r="J764"/>
    </row>
    <row r="765" spans="10:10">
      <c r="J765"/>
    </row>
    <row r="766" spans="10:10">
      <c r="J766"/>
    </row>
    <row r="767" spans="10:10">
      <c r="J767"/>
    </row>
    <row r="768" spans="10:10">
      <c r="J768"/>
    </row>
    <row r="769" spans="10:10">
      <c r="J769"/>
    </row>
    <row r="770" spans="10:10">
      <c r="J770"/>
    </row>
    <row r="771" spans="10:10">
      <c r="J771"/>
    </row>
    <row r="772" spans="10:10">
      <c r="J772"/>
    </row>
    <row r="773" spans="10:10">
      <c r="J773"/>
    </row>
    <row r="774" spans="10:10">
      <c r="J774"/>
    </row>
    <row r="775" spans="10:10">
      <c r="J775"/>
    </row>
    <row r="776" spans="10:10">
      <c r="J776"/>
    </row>
    <row r="777" spans="10:10">
      <c r="J777"/>
    </row>
    <row r="778" spans="10:10">
      <c r="J778"/>
    </row>
    <row r="779" spans="10:10">
      <c r="J779"/>
    </row>
    <row r="780" spans="10:10">
      <c r="J780"/>
    </row>
    <row r="781" spans="10:10">
      <c r="J781"/>
    </row>
    <row r="782" spans="10:10">
      <c r="J782"/>
    </row>
    <row r="783" spans="10:10">
      <c r="J783"/>
    </row>
    <row r="784" spans="10:10">
      <c r="J784"/>
    </row>
    <row r="785" spans="10:10">
      <c r="J785"/>
    </row>
    <row r="786" spans="10:10">
      <c r="J786"/>
    </row>
    <row r="787" spans="10:10">
      <c r="J787"/>
    </row>
    <row r="788" spans="10:10">
      <c r="J788"/>
    </row>
    <row r="789" spans="10:10">
      <c r="J789"/>
    </row>
    <row r="790" spans="10:10">
      <c r="J790"/>
    </row>
    <row r="791" spans="10:10">
      <c r="J791"/>
    </row>
    <row r="792" spans="10:10">
      <c r="J792"/>
    </row>
    <row r="793" spans="10:10">
      <c r="J793"/>
    </row>
    <row r="794" spans="10:10">
      <c r="J794"/>
    </row>
    <row r="795" spans="10:10">
      <c r="J795"/>
    </row>
    <row r="796" spans="10:10">
      <c r="J796"/>
    </row>
    <row r="797" spans="10:10">
      <c r="J797"/>
    </row>
    <row r="798" spans="10:10">
      <c r="J798"/>
    </row>
    <row r="799" spans="10:10">
      <c r="J799"/>
    </row>
    <row r="800" spans="10:10">
      <c r="J800"/>
    </row>
    <row r="801" spans="10:10">
      <c r="J801"/>
    </row>
    <row r="802" spans="10:10">
      <c r="J802"/>
    </row>
    <row r="803" spans="10:10">
      <c r="J803"/>
    </row>
    <row r="804" spans="10:10">
      <c r="J804"/>
    </row>
    <row r="805" spans="10:10">
      <c r="J805"/>
    </row>
    <row r="806" spans="10:10">
      <c r="J806"/>
    </row>
    <row r="807" spans="10:10">
      <c r="J807"/>
    </row>
    <row r="808" spans="10:10">
      <c r="J808"/>
    </row>
    <row r="809" spans="10:10">
      <c r="J809"/>
    </row>
    <row r="810" spans="10:10">
      <c r="J810"/>
    </row>
    <row r="811" spans="10:10">
      <c r="J811"/>
    </row>
    <row r="812" spans="10:10">
      <c r="J812"/>
    </row>
    <row r="813" spans="10:10">
      <c r="J813"/>
    </row>
    <row r="814" spans="10:10">
      <c r="J814"/>
    </row>
    <row r="815" spans="10:10">
      <c r="J815"/>
    </row>
    <row r="816" spans="10:10">
      <c r="J816"/>
    </row>
    <row r="817" spans="10:10">
      <c r="J817"/>
    </row>
    <row r="818" spans="10:10">
      <c r="J818"/>
    </row>
    <row r="819" spans="10:10">
      <c r="J819"/>
    </row>
    <row r="820" spans="10:10">
      <c r="J820"/>
    </row>
    <row r="821" spans="10:10">
      <c r="J821"/>
    </row>
    <row r="822" spans="10:10">
      <c r="J822"/>
    </row>
    <row r="823" spans="10:10">
      <c r="J823"/>
    </row>
    <row r="824" spans="10:10">
      <c r="J824"/>
    </row>
    <row r="825" spans="10:10">
      <c r="J825"/>
    </row>
    <row r="826" spans="10:10">
      <c r="J826"/>
    </row>
    <row r="827" spans="10:10">
      <c r="J827"/>
    </row>
    <row r="828" spans="10:10">
      <c r="J828"/>
    </row>
    <row r="829" spans="10:10">
      <c r="J829"/>
    </row>
    <row r="830" spans="10:10">
      <c r="J830"/>
    </row>
    <row r="831" spans="10:10">
      <c r="J831"/>
    </row>
    <row r="832" spans="10:10">
      <c r="J832"/>
    </row>
    <row r="833" spans="10:10">
      <c r="J833"/>
    </row>
    <row r="834" spans="10:10">
      <c r="J834"/>
    </row>
    <row r="835" spans="10:10">
      <c r="J835"/>
    </row>
    <row r="836" spans="10:10">
      <c r="J836"/>
    </row>
    <row r="837" spans="10:10">
      <c r="J837"/>
    </row>
    <row r="838" spans="10:10">
      <c r="J838"/>
    </row>
    <row r="839" spans="10:10">
      <c r="J839"/>
    </row>
    <row r="840" spans="10:10">
      <c r="J840"/>
    </row>
    <row r="841" spans="10:10">
      <c r="J841"/>
    </row>
    <row r="842" spans="10:10">
      <c r="J842"/>
    </row>
    <row r="843" spans="10:10">
      <c r="J843"/>
    </row>
    <row r="844" spans="10:10">
      <c r="J844"/>
    </row>
    <row r="845" spans="10:10">
      <c r="J845"/>
    </row>
    <row r="846" spans="10:10">
      <c r="J846"/>
    </row>
    <row r="847" spans="10:10">
      <c r="J847"/>
    </row>
    <row r="848" spans="10:10">
      <c r="J848"/>
    </row>
    <row r="849" spans="10:10">
      <c r="J849"/>
    </row>
    <row r="850" spans="10:10">
      <c r="J850"/>
    </row>
    <row r="851" spans="10:10">
      <c r="J851"/>
    </row>
    <row r="852" spans="10:10">
      <c r="J852"/>
    </row>
    <row r="853" spans="10:10">
      <c r="J853"/>
    </row>
    <row r="854" spans="10:10">
      <c r="J854"/>
    </row>
    <row r="855" spans="10:10">
      <c r="J855"/>
    </row>
    <row r="856" spans="10:10">
      <c r="J856"/>
    </row>
    <row r="857" spans="10:10">
      <c r="J857"/>
    </row>
    <row r="858" spans="10:10">
      <c r="J858"/>
    </row>
    <row r="859" spans="10:10">
      <c r="J859"/>
    </row>
    <row r="860" spans="10:10">
      <c r="J860"/>
    </row>
    <row r="861" spans="10:10">
      <c r="J861"/>
    </row>
    <row r="862" spans="10:10">
      <c r="J862"/>
    </row>
    <row r="863" spans="10:10">
      <c r="J863"/>
    </row>
    <row r="864" spans="10:10">
      <c r="J864"/>
    </row>
    <row r="865" spans="10:10">
      <c r="J865"/>
    </row>
    <row r="866" spans="10:10">
      <c r="J866"/>
    </row>
    <row r="867" spans="10:10">
      <c r="J867"/>
    </row>
    <row r="868" spans="10:10">
      <c r="J868"/>
    </row>
    <row r="869" spans="10:10">
      <c r="J869"/>
    </row>
    <row r="870" spans="10:10">
      <c r="J870"/>
    </row>
    <row r="871" spans="10:10">
      <c r="J871"/>
    </row>
    <row r="872" spans="10:10">
      <c r="J872"/>
    </row>
    <row r="873" spans="10:10">
      <c r="J873"/>
    </row>
    <row r="874" spans="10:10">
      <c r="J874"/>
    </row>
    <row r="875" spans="10:10">
      <c r="J875"/>
    </row>
    <row r="876" spans="10:10">
      <c r="J876"/>
    </row>
    <row r="877" spans="10:10">
      <c r="J877"/>
    </row>
    <row r="878" spans="10:10">
      <c r="J878"/>
    </row>
    <row r="879" spans="10:10">
      <c r="J879"/>
    </row>
    <row r="880" spans="10:10">
      <c r="J880"/>
    </row>
    <row r="881" spans="10:10">
      <c r="J881"/>
    </row>
    <row r="882" spans="10:10">
      <c r="J882"/>
    </row>
    <row r="883" spans="10:10">
      <c r="J883"/>
    </row>
    <row r="884" spans="10:10">
      <c r="J884"/>
    </row>
    <row r="885" spans="10:10">
      <c r="J885"/>
    </row>
    <row r="886" spans="10:10">
      <c r="J886"/>
    </row>
    <row r="887" spans="10:10">
      <c r="J887"/>
    </row>
    <row r="888" spans="10:10">
      <c r="J888"/>
    </row>
    <row r="889" spans="10:10">
      <c r="J889"/>
    </row>
    <row r="890" spans="10:10">
      <c r="J890"/>
    </row>
    <row r="891" spans="10:10">
      <c r="J891"/>
    </row>
    <row r="892" spans="10:10">
      <c r="J892"/>
    </row>
    <row r="893" spans="10:10">
      <c r="J893"/>
    </row>
    <row r="894" spans="10:10">
      <c r="J894"/>
    </row>
    <row r="895" spans="10:10">
      <c r="J895"/>
    </row>
    <row r="896" spans="10:10">
      <c r="J896"/>
    </row>
    <row r="897" spans="10:10">
      <c r="J897"/>
    </row>
    <row r="898" spans="10:10">
      <c r="J898"/>
    </row>
    <row r="899" spans="10:10">
      <c r="J899"/>
    </row>
    <row r="900" spans="10:10">
      <c r="J900"/>
    </row>
    <row r="901" spans="10:10">
      <c r="J901"/>
    </row>
    <row r="902" spans="10:10">
      <c r="J902"/>
    </row>
    <row r="903" spans="10:10">
      <c r="J903"/>
    </row>
    <row r="904" spans="10:10">
      <c r="J904"/>
    </row>
    <row r="905" spans="10:10">
      <c r="J905"/>
    </row>
    <row r="906" spans="10:10">
      <c r="J906"/>
    </row>
    <row r="907" spans="10:10">
      <c r="J907"/>
    </row>
    <row r="908" spans="10:10">
      <c r="J908"/>
    </row>
    <row r="909" spans="10:10">
      <c r="J909"/>
    </row>
    <row r="910" spans="10:10">
      <c r="J910"/>
    </row>
    <row r="911" spans="10:10">
      <c r="J911"/>
    </row>
    <row r="912" spans="10:10">
      <c r="J912"/>
    </row>
    <row r="913" spans="10:10">
      <c r="J913"/>
    </row>
    <row r="914" spans="10:10">
      <c r="J914"/>
    </row>
    <row r="915" spans="10:10">
      <c r="J915"/>
    </row>
    <row r="916" spans="10:10">
      <c r="J916"/>
    </row>
    <row r="917" spans="10:10">
      <c r="J917"/>
    </row>
    <row r="918" spans="10:10">
      <c r="J918"/>
    </row>
    <row r="919" spans="10:10">
      <c r="J919"/>
    </row>
    <row r="920" spans="10:10">
      <c r="J920"/>
    </row>
    <row r="921" spans="10:10">
      <c r="J921"/>
    </row>
    <row r="922" spans="10:10">
      <c r="J922"/>
    </row>
    <row r="923" spans="10:10">
      <c r="J923"/>
    </row>
    <row r="924" spans="10:10">
      <c r="J924"/>
    </row>
    <row r="925" spans="10:10">
      <c r="J925"/>
    </row>
    <row r="926" spans="10:10">
      <c r="J926"/>
    </row>
    <row r="927" spans="10:10">
      <c r="J927"/>
    </row>
    <row r="928" spans="10:10">
      <c r="J928"/>
    </row>
    <row r="929" spans="10:10">
      <c r="J929"/>
    </row>
    <row r="930" spans="10:10">
      <c r="J930"/>
    </row>
    <row r="931" spans="10:10">
      <c r="J931"/>
    </row>
    <row r="932" spans="10:10">
      <c r="J932"/>
    </row>
    <row r="933" spans="10:10">
      <c r="J933"/>
    </row>
    <row r="934" spans="10:10">
      <c r="J934"/>
    </row>
    <row r="935" spans="10:10">
      <c r="J935"/>
    </row>
    <row r="936" spans="10:10">
      <c r="J936"/>
    </row>
    <row r="937" spans="10:10">
      <c r="J937"/>
    </row>
    <row r="938" spans="10:10">
      <c r="J938"/>
    </row>
    <row r="939" spans="10:10">
      <c r="J939"/>
    </row>
    <row r="940" spans="10:10">
      <c r="J940"/>
    </row>
    <row r="941" spans="10:10">
      <c r="J941"/>
    </row>
    <row r="942" spans="10:10">
      <c r="J942"/>
    </row>
    <row r="943" spans="10:10">
      <c r="J943"/>
    </row>
    <row r="944" spans="10:10">
      <c r="J944"/>
    </row>
    <row r="945" spans="10:10">
      <c r="J945"/>
    </row>
    <row r="946" spans="10:10">
      <c r="J946"/>
    </row>
    <row r="947" spans="10:10">
      <c r="J947"/>
    </row>
    <row r="948" spans="10:10">
      <c r="J948"/>
    </row>
    <row r="949" spans="10:10">
      <c r="J949"/>
    </row>
    <row r="950" spans="10:10">
      <c r="J950"/>
    </row>
    <row r="951" spans="10:10">
      <c r="J951"/>
    </row>
    <row r="952" spans="10:10">
      <c r="J952"/>
    </row>
    <row r="953" spans="10:10">
      <c r="J953"/>
    </row>
    <row r="954" spans="10:10">
      <c r="J954"/>
    </row>
    <row r="955" spans="10:10">
      <c r="J955"/>
    </row>
    <row r="956" spans="10:10">
      <c r="J956"/>
    </row>
    <row r="957" spans="10:10">
      <c r="J957"/>
    </row>
    <row r="958" spans="10:10">
      <c r="J958"/>
    </row>
    <row r="959" spans="10:10">
      <c r="J959"/>
    </row>
    <row r="960" spans="10:10">
      <c r="J960"/>
    </row>
    <row r="961" spans="10:10">
      <c r="J961"/>
    </row>
    <row r="962" spans="10:10">
      <c r="J962"/>
    </row>
    <row r="963" spans="10:10">
      <c r="J963"/>
    </row>
    <row r="964" spans="10:10">
      <c r="J964"/>
    </row>
    <row r="965" spans="10:10">
      <c r="J965"/>
    </row>
    <row r="966" spans="10:10">
      <c r="J966"/>
    </row>
    <row r="967" spans="10:10">
      <c r="J967"/>
    </row>
    <row r="968" spans="10:10">
      <c r="J968"/>
    </row>
    <row r="969" spans="10:10">
      <c r="J969"/>
    </row>
    <row r="970" spans="10:10">
      <c r="J970"/>
    </row>
    <row r="971" spans="10:10">
      <c r="J971"/>
    </row>
    <row r="972" spans="10:10">
      <c r="J972"/>
    </row>
    <row r="973" spans="10:10">
      <c r="J973"/>
    </row>
    <row r="974" spans="10:10">
      <c r="J974"/>
    </row>
    <row r="975" spans="10:10">
      <c r="J975"/>
    </row>
    <row r="976" spans="10:10">
      <c r="J976"/>
    </row>
    <row r="977" spans="10:10">
      <c r="J977"/>
    </row>
    <row r="978" spans="10:10">
      <c r="J978"/>
    </row>
    <row r="979" spans="10:10">
      <c r="J979"/>
    </row>
    <row r="980" spans="10:10">
      <c r="J980"/>
    </row>
    <row r="981" spans="10:10">
      <c r="J981"/>
    </row>
    <row r="982" spans="10:10">
      <c r="J982"/>
    </row>
    <row r="983" spans="10:10">
      <c r="J983"/>
    </row>
    <row r="984" spans="10:10">
      <c r="J984"/>
    </row>
    <row r="985" spans="10:10">
      <c r="J985"/>
    </row>
    <row r="986" spans="10:10">
      <c r="J986"/>
    </row>
    <row r="987" spans="10:10">
      <c r="J987"/>
    </row>
    <row r="988" spans="10:10">
      <c r="J988"/>
    </row>
    <row r="989" spans="10:10">
      <c r="J989"/>
    </row>
    <row r="990" spans="10:10">
      <c r="J990"/>
    </row>
    <row r="991" spans="10:10">
      <c r="J991"/>
    </row>
    <row r="992" spans="10:10">
      <c r="J992"/>
    </row>
    <row r="993" spans="10:10">
      <c r="J993"/>
    </row>
    <row r="994" spans="10:10">
      <c r="J994"/>
    </row>
    <row r="995" spans="10:10">
      <c r="J995"/>
    </row>
    <row r="996" spans="10:10">
      <c r="J996"/>
    </row>
    <row r="997" spans="10:10">
      <c r="J997"/>
    </row>
    <row r="998" spans="10:10">
      <c r="J998"/>
    </row>
    <row r="999" spans="10:10">
      <c r="J999"/>
    </row>
    <row r="1000" spans="10:10">
      <c r="J1000"/>
    </row>
    <row r="1001" spans="10:10">
      <c r="J1001"/>
    </row>
    <row r="1002" spans="10:10">
      <c r="J1002"/>
    </row>
    <row r="1003" spans="10:10">
      <c r="J1003"/>
    </row>
    <row r="1004" spans="10:10">
      <c r="J1004"/>
    </row>
    <row r="1005" spans="10:10">
      <c r="J1005"/>
    </row>
    <row r="1006" spans="10:10">
      <c r="J1006"/>
    </row>
    <row r="1007" spans="10:10">
      <c r="J1007"/>
    </row>
    <row r="1008" spans="10:10">
      <c r="J1008"/>
    </row>
    <row r="1009" spans="10:10">
      <c r="J1009"/>
    </row>
    <row r="1010" spans="10:10">
      <c r="J1010"/>
    </row>
    <row r="1011" spans="10:10">
      <c r="J1011"/>
    </row>
    <row r="1012" spans="10:10">
      <c r="J1012"/>
    </row>
    <row r="1013" spans="10:10">
      <c r="J1013"/>
    </row>
    <row r="1014" spans="10:10">
      <c r="J1014"/>
    </row>
    <row r="1015" spans="10:10">
      <c r="J1015"/>
    </row>
    <row r="1016" spans="10:10">
      <c r="J1016"/>
    </row>
    <row r="1017" spans="10:10">
      <c r="J1017"/>
    </row>
    <row r="1018" spans="10:10">
      <c r="J1018"/>
    </row>
    <row r="1019" spans="10:10">
      <c r="J1019"/>
    </row>
    <row r="1020" spans="10:10">
      <c r="J1020"/>
    </row>
    <row r="1021" spans="10:10">
      <c r="J1021"/>
    </row>
    <row r="1022" spans="10:10">
      <c r="J1022"/>
    </row>
    <row r="1023" spans="10:10">
      <c r="J1023"/>
    </row>
    <row r="1024" spans="10:10">
      <c r="J1024"/>
    </row>
    <row r="1025" spans="10:10">
      <c r="J1025"/>
    </row>
    <row r="1026" spans="10:10">
      <c r="J1026"/>
    </row>
    <row r="1027" spans="10:10">
      <c r="J1027"/>
    </row>
    <row r="1028" spans="10:10">
      <c r="J1028"/>
    </row>
    <row r="1029" spans="10:10">
      <c r="J1029"/>
    </row>
    <row r="1030" spans="10:10">
      <c r="J1030"/>
    </row>
    <row r="1031" spans="10:10">
      <c r="J1031"/>
    </row>
    <row r="1032" spans="10:10">
      <c r="J1032"/>
    </row>
    <row r="1033" spans="10:10">
      <c r="J1033"/>
    </row>
    <row r="1034" spans="10:10">
      <c r="J1034"/>
    </row>
    <row r="1035" spans="10:10">
      <c r="J1035"/>
    </row>
    <row r="1036" spans="10:10">
      <c r="J1036"/>
    </row>
    <row r="1037" spans="10:10">
      <c r="J1037"/>
    </row>
    <row r="1038" spans="10:10">
      <c r="J1038"/>
    </row>
    <row r="1039" spans="10:10">
      <c r="J1039"/>
    </row>
    <row r="1040" spans="10:10">
      <c r="J1040"/>
    </row>
    <row r="1041" spans="10:10">
      <c r="J1041"/>
    </row>
    <row r="1042" spans="10:10">
      <c r="J1042"/>
    </row>
    <row r="1043" spans="10:10">
      <c r="J1043"/>
    </row>
    <row r="1044" spans="10:10">
      <c r="J1044"/>
    </row>
    <row r="1045" spans="10:10">
      <c r="J1045"/>
    </row>
    <row r="1046" spans="10:10">
      <c r="J1046"/>
    </row>
    <row r="1047" spans="10:10">
      <c r="J1047"/>
    </row>
    <row r="1048" spans="10:10">
      <c r="J1048"/>
    </row>
    <row r="1049" spans="10:10">
      <c r="J1049"/>
    </row>
    <row r="1050" spans="10:10">
      <c r="J1050"/>
    </row>
    <row r="1051" spans="10:10">
      <c r="J1051"/>
    </row>
    <row r="1052" spans="10:10">
      <c r="J1052"/>
    </row>
    <row r="1053" spans="10:10">
      <c r="J1053"/>
    </row>
    <row r="1054" spans="10:10">
      <c r="J1054"/>
    </row>
    <row r="1055" spans="10:10">
      <c r="J1055"/>
    </row>
    <row r="1056" spans="10:10">
      <c r="J1056"/>
    </row>
    <row r="1057" spans="10:10">
      <c r="J1057"/>
    </row>
    <row r="1058" spans="10:10">
      <c r="J1058"/>
    </row>
    <row r="1059" spans="10:10">
      <c r="J1059"/>
    </row>
    <row r="1060" spans="10:10">
      <c r="J1060"/>
    </row>
    <row r="1061" spans="10:10">
      <c r="J1061"/>
    </row>
    <row r="1062" spans="10:10">
      <c r="J1062"/>
    </row>
    <row r="1063" spans="10:10">
      <c r="J1063"/>
    </row>
    <row r="1064" spans="10:10">
      <c r="J1064"/>
    </row>
    <row r="1065" spans="10:10">
      <c r="J1065"/>
    </row>
    <row r="1066" spans="10:10">
      <c r="J1066"/>
    </row>
    <row r="1067" spans="10:10">
      <c r="J1067"/>
    </row>
    <row r="1068" spans="10:10">
      <c r="J1068"/>
    </row>
    <row r="1069" spans="10:10">
      <c r="J1069"/>
    </row>
    <row r="1070" spans="10:10">
      <c r="J1070"/>
    </row>
    <row r="1071" spans="10:10">
      <c r="J1071"/>
    </row>
    <row r="1072" spans="10:10">
      <c r="J1072"/>
    </row>
    <row r="1073" spans="10:10">
      <c r="J1073"/>
    </row>
    <row r="1074" spans="10:10">
      <c r="J1074"/>
    </row>
    <row r="1075" spans="10:10">
      <c r="J1075"/>
    </row>
    <row r="1076" spans="10:10">
      <c r="J1076"/>
    </row>
    <row r="1077" spans="10:10">
      <c r="J1077"/>
    </row>
    <row r="1078" spans="10:10">
      <c r="J1078"/>
    </row>
    <row r="1079" spans="10:10">
      <c r="J1079"/>
    </row>
    <row r="1080" spans="10:10">
      <c r="J1080"/>
    </row>
    <row r="1081" spans="10:10">
      <c r="J1081"/>
    </row>
    <row r="1082" spans="10:10">
      <c r="J1082"/>
    </row>
    <row r="1083" spans="10:10">
      <c r="J1083"/>
    </row>
    <row r="1084" spans="10:10">
      <c r="J1084"/>
    </row>
    <row r="1085" spans="10:10">
      <c r="J1085"/>
    </row>
    <row r="1086" spans="10:10">
      <c r="J1086"/>
    </row>
    <row r="1087" spans="10:10">
      <c r="J1087"/>
    </row>
    <row r="1088" spans="10:10">
      <c r="J1088"/>
    </row>
    <row r="1089" spans="10:10">
      <c r="J1089"/>
    </row>
    <row r="1090" spans="10:10">
      <c r="J1090"/>
    </row>
    <row r="1091" spans="10:10">
      <c r="J1091"/>
    </row>
    <row r="1092" spans="10:10">
      <c r="J1092"/>
    </row>
    <row r="1093" spans="10:10">
      <c r="J1093"/>
    </row>
    <row r="1094" spans="10:10">
      <c r="J1094"/>
    </row>
    <row r="1095" spans="10:10">
      <c r="J1095"/>
    </row>
    <row r="1096" spans="10:10">
      <c r="J1096"/>
    </row>
    <row r="1097" spans="10:10">
      <c r="J1097"/>
    </row>
    <row r="1098" spans="10:10">
      <c r="J1098"/>
    </row>
    <row r="1099" spans="10:10">
      <c r="J1099"/>
    </row>
    <row r="1100" spans="10:10">
      <c r="J1100"/>
    </row>
    <row r="1101" spans="10:10">
      <c r="J1101"/>
    </row>
    <row r="1102" spans="10:10">
      <c r="J1102"/>
    </row>
    <row r="1103" spans="10:10">
      <c r="J1103"/>
    </row>
    <row r="1104" spans="10:10">
      <c r="J1104"/>
    </row>
    <row r="1105" spans="10:10">
      <c r="J1105"/>
    </row>
    <row r="1106" spans="10:10">
      <c r="J1106"/>
    </row>
    <row r="1107" spans="10:10">
      <c r="J1107"/>
    </row>
    <row r="1108" spans="10:10">
      <c r="J1108"/>
    </row>
    <row r="1109" spans="10:10">
      <c r="J1109"/>
    </row>
    <row r="1110" spans="10:10">
      <c r="J1110"/>
    </row>
    <row r="1111" spans="10:10">
      <c r="J1111"/>
    </row>
    <row r="1112" spans="10:10">
      <c r="J1112"/>
    </row>
    <row r="1113" spans="10:10">
      <c r="J1113"/>
    </row>
    <row r="1114" spans="10:10">
      <c r="J1114"/>
    </row>
    <row r="1115" spans="10:10">
      <c r="J1115"/>
    </row>
    <row r="1116" spans="10:10">
      <c r="J1116"/>
    </row>
    <row r="1117" spans="10:10">
      <c r="J1117"/>
    </row>
    <row r="1118" spans="10:10">
      <c r="J1118"/>
    </row>
    <row r="1119" spans="10:10">
      <c r="J1119"/>
    </row>
    <row r="1120" spans="10:10">
      <c r="J1120"/>
    </row>
    <row r="1121" spans="10:10">
      <c r="J1121"/>
    </row>
    <row r="1122" spans="10:10">
      <c r="J1122"/>
    </row>
    <row r="1123" spans="10:10">
      <c r="J1123"/>
    </row>
    <row r="1124" spans="10:10">
      <c r="J1124"/>
    </row>
    <row r="1125" spans="10:10">
      <c r="J1125"/>
    </row>
    <row r="1126" spans="10:10">
      <c r="J1126"/>
    </row>
    <row r="1127" spans="10:10">
      <c r="J1127"/>
    </row>
    <row r="1128" spans="10:10">
      <c r="J1128"/>
    </row>
    <row r="1129" spans="10:10">
      <c r="J1129"/>
    </row>
    <row r="1130" spans="10:10">
      <c r="J1130"/>
    </row>
    <row r="1131" spans="10:10">
      <c r="J1131"/>
    </row>
    <row r="1132" spans="10:10">
      <c r="J1132"/>
    </row>
    <row r="1133" spans="10:10">
      <c r="J1133"/>
    </row>
    <row r="1134" spans="10:10">
      <c r="J1134"/>
    </row>
    <row r="1135" spans="10:10">
      <c r="J1135"/>
    </row>
    <row r="1136" spans="10:10">
      <c r="J1136"/>
    </row>
    <row r="1137" spans="10:10">
      <c r="J1137"/>
    </row>
    <row r="1138" spans="10:10">
      <c r="J1138"/>
    </row>
    <row r="1139" spans="10:10">
      <c r="J1139"/>
    </row>
    <row r="1140" spans="10:10">
      <c r="J1140"/>
    </row>
    <row r="1141" spans="10:10">
      <c r="J1141"/>
    </row>
    <row r="1142" spans="10:10">
      <c r="J1142"/>
    </row>
    <row r="1143" spans="10:10">
      <c r="J1143"/>
    </row>
    <row r="1144" spans="10:10">
      <c r="J1144"/>
    </row>
    <row r="1145" spans="10:10">
      <c r="J1145"/>
    </row>
    <row r="1146" spans="10:10">
      <c r="J1146"/>
    </row>
    <row r="1147" spans="10:10">
      <c r="J1147"/>
    </row>
    <row r="1148" spans="10:10">
      <c r="J1148"/>
    </row>
    <row r="1149" spans="10:10">
      <c r="J1149"/>
    </row>
    <row r="1150" spans="10:10">
      <c r="J1150"/>
    </row>
    <row r="1151" spans="10:10">
      <c r="J1151"/>
    </row>
    <row r="1152" spans="10:10">
      <c r="J1152"/>
    </row>
    <row r="1153" spans="10:10">
      <c r="J1153"/>
    </row>
    <row r="1154" spans="10:10">
      <c r="J1154"/>
    </row>
    <row r="1155" spans="10:10">
      <c r="J1155"/>
    </row>
    <row r="1156" spans="10:10">
      <c r="J1156"/>
    </row>
    <row r="1157" spans="10:10">
      <c r="J1157"/>
    </row>
    <row r="1158" spans="10:10">
      <c r="J1158"/>
    </row>
    <row r="1159" spans="10:10">
      <c r="J1159"/>
    </row>
    <row r="1160" spans="10:10">
      <c r="J1160"/>
    </row>
    <row r="1161" spans="10:10">
      <c r="J1161"/>
    </row>
    <row r="1162" spans="10:10">
      <c r="J1162"/>
    </row>
    <row r="1163" spans="10:10">
      <c r="J1163"/>
    </row>
    <row r="1164" spans="10:10">
      <c r="J1164"/>
    </row>
    <row r="1165" spans="10:10">
      <c r="J1165"/>
    </row>
    <row r="1166" spans="10:10">
      <c r="J1166"/>
    </row>
    <row r="1167" spans="10:10">
      <c r="J1167"/>
    </row>
    <row r="1168" spans="10:10">
      <c r="J1168"/>
    </row>
    <row r="1169" spans="10:10">
      <c r="J1169"/>
    </row>
    <row r="1170" spans="10:10">
      <c r="J1170"/>
    </row>
    <row r="1171" spans="10:10">
      <c r="J1171"/>
    </row>
    <row r="1172" spans="10:10">
      <c r="J1172"/>
    </row>
    <row r="1173" spans="10:10">
      <c r="J1173"/>
    </row>
    <row r="1174" spans="10:10">
      <c r="J1174"/>
    </row>
    <row r="1175" spans="10:10">
      <c r="J1175"/>
    </row>
    <row r="1176" spans="10:10">
      <c r="J1176"/>
    </row>
    <row r="1177" spans="10:10">
      <c r="J1177"/>
    </row>
    <row r="1178" spans="10:10">
      <c r="J1178"/>
    </row>
    <row r="1179" spans="10:10">
      <c r="J1179"/>
    </row>
    <row r="1180" spans="10:10">
      <c r="J1180"/>
    </row>
    <row r="1181" spans="10:10">
      <c r="J1181"/>
    </row>
    <row r="1182" spans="10:10">
      <c r="J1182"/>
    </row>
    <row r="1183" spans="10:10">
      <c r="J1183"/>
    </row>
    <row r="1184" spans="10:10">
      <c r="J1184"/>
    </row>
    <row r="1185" spans="10:10">
      <c r="J1185"/>
    </row>
    <row r="1186" spans="10:10">
      <c r="J1186"/>
    </row>
    <row r="1187" spans="10:10">
      <c r="J1187"/>
    </row>
    <row r="1188" spans="10:10">
      <c r="J1188"/>
    </row>
    <row r="1189" spans="10:10">
      <c r="J1189"/>
    </row>
    <row r="1190" spans="10:10">
      <c r="J1190"/>
    </row>
    <row r="1191" spans="10:10">
      <c r="J1191"/>
    </row>
    <row r="1192" spans="10:10">
      <c r="J1192"/>
    </row>
    <row r="1193" spans="10:10">
      <c r="J1193"/>
    </row>
    <row r="1194" spans="10:10">
      <c r="J1194"/>
    </row>
    <row r="1195" spans="10:10">
      <c r="J1195"/>
    </row>
    <row r="1196" spans="10:10">
      <c r="J1196"/>
    </row>
    <row r="1197" spans="10:10">
      <c r="J1197"/>
    </row>
    <row r="1198" spans="10:10">
      <c r="J1198"/>
    </row>
    <row r="1199" spans="10:10">
      <c r="J1199"/>
    </row>
    <row r="1200" spans="10:10">
      <c r="J1200"/>
    </row>
    <row r="1201" spans="10:10">
      <c r="J1201"/>
    </row>
    <row r="1202" spans="10:10">
      <c r="J1202"/>
    </row>
    <row r="1203" spans="10:10">
      <c r="J1203"/>
    </row>
    <row r="1204" spans="10:10">
      <c r="J1204"/>
    </row>
    <row r="1205" spans="10:10">
      <c r="J1205"/>
    </row>
    <row r="1206" spans="10:10">
      <c r="J1206"/>
    </row>
    <row r="1207" spans="10:10">
      <c r="J1207"/>
    </row>
    <row r="1208" spans="10:10">
      <c r="J1208"/>
    </row>
    <row r="1209" spans="10:10">
      <c r="J1209"/>
    </row>
    <row r="1210" spans="10:10">
      <c r="J1210"/>
    </row>
    <row r="1211" spans="10:10">
      <c r="J1211"/>
    </row>
    <row r="1212" spans="10:10">
      <c r="J1212"/>
    </row>
    <row r="1213" spans="10:10">
      <c r="J1213"/>
    </row>
    <row r="1214" spans="10:10">
      <c r="J1214"/>
    </row>
    <row r="1215" spans="10:10">
      <c r="J1215"/>
    </row>
    <row r="1216" spans="10:10">
      <c r="J1216"/>
    </row>
    <row r="1217" spans="10:10">
      <c r="J1217"/>
    </row>
    <row r="1218" spans="10:10">
      <c r="J1218"/>
    </row>
    <row r="1219" spans="10:10">
      <c r="J1219"/>
    </row>
    <row r="1220" spans="10:10">
      <c r="J1220"/>
    </row>
    <row r="1221" spans="10:10">
      <c r="J1221"/>
    </row>
    <row r="1222" spans="10:10">
      <c r="J1222"/>
    </row>
    <row r="1223" spans="10:10">
      <c r="J1223"/>
    </row>
    <row r="1224" spans="10:10">
      <c r="J1224"/>
    </row>
    <row r="1225" spans="10:10">
      <c r="J1225"/>
    </row>
    <row r="1226" spans="10:10">
      <c r="J1226"/>
    </row>
    <row r="1227" spans="10:10">
      <c r="J1227"/>
    </row>
    <row r="1228" spans="10:10">
      <c r="J1228"/>
    </row>
    <row r="1229" spans="10:10">
      <c r="J1229"/>
    </row>
    <row r="1230" spans="10:10">
      <c r="J1230"/>
    </row>
    <row r="1231" spans="10:10">
      <c r="J1231"/>
    </row>
    <row r="1232" spans="10:10">
      <c r="J1232"/>
    </row>
    <row r="1233" spans="10:10">
      <c r="J1233"/>
    </row>
    <row r="1234" spans="10:10">
      <c r="J1234"/>
    </row>
    <row r="1235" spans="10:10">
      <c r="J1235"/>
    </row>
    <row r="1236" spans="10:10">
      <c r="J1236"/>
    </row>
    <row r="1237" spans="10:10">
      <c r="J1237"/>
    </row>
    <row r="1238" spans="10:10">
      <c r="J1238"/>
    </row>
    <row r="1239" spans="10:10">
      <c r="J1239"/>
    </row>
    <row r="1240" spans="10:10">
      <c r="J1240"/>
    </row>
    <row r="1241" spans="10:10">
      <c r="J1241"/>
    </row>
    <row r="1242" spans="10:10">
      <c r="J1242"/>
    </row>
    <row r="1243" spans="10:10">
      <c r="J1243"/>
    </row>
    <row r="1244" spans="10:10">
      <c r="J1244"/>
    </row>
    <row r="1245" spans="10:10">
      <c r="J1245"/>
    </row>
    <row r="1246" spans="10:10">
      <c r="J1246"/>
    </row>
    <row r="1247" spans="10:10">
      <c r="J1247"/>
    </row>
    <row r="1248" spans="10:10">
      <c r="J1248"/>
    </row>
    <row r="1249" spans="10:10">
      <c r="J1249"/>
    </row>
    <row r="1250" spans="10:10">
      <c r="J1250"/>
    </row>
    <row r="1251" spans="10:10">
      <c r="J1251"/>
    </row>
    <row r="1252" spans="10:10">
      <c r="J1252"/>
    </row>
    <row r="1253" spans="10:10">
      <c r="J1253"/>
    </row>
    <row r="1254" spans="10:10">
      <c r="J1254"/>
    </row>
    <row r="1255" spans="10:10">
      <c r="J1255"/>
    </row>
    <row r="1256" spans="10:10">
      <c r="J1256"/>
    </row>
    <row r="1257" spans="10:10">
      <c r="J1257"/>
    </row>
    <row r="1258" spans="10:10">
      <c r="J1258"/>
    </row>
    <row r="1259" spans="10:10">
      <c r="J1259"/>
    </row>
    <row r="1260" spans="10:10">
      <c r="J1260"/>
    </row>
    <row r="1261" spans="10:10">
      <c r="J1261"/>
    </row>
    <row r="1262" spans="10:10">
      <c r="J1262"/>
    </row>
    <row r="1263" spans="10:10">
      <c r="J1263"/>
    </row>
    <row r="1264" spans="10:10">
      <c r="J1264"/>
    </row>
    <row r="1265" spans="10:10">
      <c r="J1265"/>
    </row>
    <row r="1266" spans="10:10">
      <c r="J1266"/>
    </row>
    <row r="1267" spans="10:10">
      <c r="J1267"/>
    </row>
    <row r="1268" spans="10:10">
      <c r="J1268"/>
    </row>
    <row r="1269" spans="10:10">
      <c r="J1269"/>
    </row>
    <row r="1270" spans="10:10">
      <c r="J1270"/>
    </row>
    <row r="1271" spans="10:10">
      <c r="J1271"/>
    </row>
    <row r="1272" spans="10:10">
      <c r="J1272"/>
    </row>
    <row r="1273" spans="10:10">
      <c r="J1273"/>
    </row>
    <row r="1274" spans="10:10">
      <c r="J1274"/>
    </row>
    <row r="1275" spans="10:10">
      <c r="J1275"/>
    </row>
    <row r="1276" spans="10:10">
      <c r="J1276"/>
    </row>
    <row r="1277" spans="10:10">
      <c r="J1277"/>
    </row>
    <row r="1278" spans="10:10">
      <c r="J1278"/>
    </row>
    <row r="1279" spans="10:10">
      <c r="J1279"/>
    </row>
    <row r="1280" spans="10:10">
      <c r="J1280"/>
    </row>
    <row r="1281" spans="10:10">
      <c r="J1281"/>
    </row>
    <row r="1282" spans="10:10">
      <c r="J1282"/>
    </row>
    <row r="1283" spans="10:10">
      <c r="J1283"/>
    </row>
    <row r="1284" spans="10:10">
      <c r="J1284"/>
    </row>
    <row r="1285" spans="10:10">
      <c r="J1285"/>
    </row>
    <row r="1286" spans="10:10">
      <c r="J1286"/>
    </row>
    <row r="1287" spans="10:10">
      <c r="J1287"/>
    </row>
    <row r="1288" spans="10:10">
      <c r="J1288"/>
    </row>
    <row r="1289" spans="10:10">
      <c r="J1289"/>
    </row>
    <row r="1290" spans="10:10">
      <c r="J1290"/>
    </row>
    <row r="1291" spans="10:10">
      <c r="J1291"/>
    </row>
    <row r="1292" spans="10:10">
      <c r="J1292"/>
    </row>
    <row r="1293" spans="10:10">
      <c r="J1293"/>
    </row>
    <row r="1294" spans="10:10">
      <c r="J1294"/>
    </row>
    <row r="1295" spans="10:10">
      <c r="J1295"/>
    </row>
    <row r="1296" spans="10:10">
      <c r="J1296"/>
    </row>
    <row r="1297" spans="10:10">
      <c r="J1297"/>
    </row>
    <row r="1298" spans="10:10">
      <c r="J1298"/>
    </row>
    <row r="1299" spans="10:10">
      <c r="J1299"/>
    </row>
    <row r="1300" spans="10:10">
      <c r="J1300"/>
    </row>
    <row r="1301" spans="10:10">
      <c r="J1301"/>
    </row>
    <row r="1302" spans="10:10">
      <c r="J1302"/>
    </row>
    <row r="1303" spans="10:10">
      <c r="J1303"/>
    </row>
    <row r="1304" spans="10:10">
      <c r="J1304"/>
    </row>
    <row r="1305" spans="10:10">
      <c r="J1305"/>
    </row>
    <row r="1306" spans="10:10">
      <c r="J1306"/>
    </row>
    <row r="1307" spans="10:10">
      <c r="J1307"/>
    </row>
    <row r="1308" spans="10:10">
      <c r="J1308"/>
    </row>
    <row r="1309" spans="10:10">
      <c r="J1309"/>
    </row>
    <row r="1310" spans="10:10">
      <c r="J1310"/>
    </row>
    <row r="1311" spans="10:10">
      <c r="J1311"/>
    </row>
    <row r="1312" spans="10:10">
      <c r="J1312"/>
    </row>
    <row r="1313" spans="10:10">
      <c r="J1313"/>
    </row>
    <row r="1314" spans="10:10">
      <c r="J1314"/>
    </row>
    <row r="1315" spans="10:10">
      <c r="J1315"/>
    </row>
    <row r="1316" spans="10:10">
      <c r="J1316"/>
    </row>
    <row r="1317" spans="10:10">
      <c r="J1317"/>
    </row>
    <row r="1318" spans="10:10">
      <c r="J1318"/>
    </row>
    <row r="1319" spans="10:10">
      <c r="J1319"/>
    </row>
    <row r="1320" spans="10:10">
      <c r="J1320"/>
    </row>
    <row r="1321" spans="10:10">
      <c r="J1321"/>
    </row>
    <row r="1322" spans="10:10">
      <c r="J1322"/>
    </row>
    <row r="1323" spans="10:10">
      <c r="J1323"/>
    </row>
    <row r="1324" spans="10:10">
      <c r="J1324"/>
    </row>
    <row r="1325" spans="10:10">
      <c r="J1325"/>
    </row>
    <row r="1326" spans="10:10">
      <c r="J1326"/>
    </row>
    <row r="1327" spans="10:10">
      <c r="J1327"/>
    </row>
    <row r="1328" spans="10:10">
      <c r="J1328"/>
    </row>
    <row r="1329" spans="10:10">
      <c r="J1329"/>
    </row>
    <row r="1330" spans="10:10">
      <c r="J1330"/>
    </row>
    <row r="1331" spans="10:10">
      <c r="J1331"/>
    </row>
    <row r="1332" spans="10:10">
      <c r="J1332"/>
    </row>
    <row r="1333" spans="10:10">
      <c r="J1333"/>
    </row>
    <row r="1334" spans="10:10">
      <c r="J1334"/>
    </row>
    <row r="1335" spans="10:10">
      <c r="J1335"/>
    </row>
    <row r="1336" spans="10:10">
      <c r="J1336"/>
    </row>
    <row r="1337" spans="10:10">
      <c r="J1337"/>
    </row>
    <row r="1338" spans="10:10">
      <c r="J1338"/>
    </row>
    <row r="1339" spans="10:10">
      <c r="J1339"/>
    </row>
    <row r="1340" spans="10:10">
      <c r="J1340"/>
    </row>
    <row r="1341" spans="10:10">
      <c r="J1341"/>
    </row>
    <row r="1342" spans="10:10">
      <c r="J1342"/>
    </row>
    <row r="1343" spans="10:10">
      <c r="J1343"/>
    </row>
    <row r="1344" spans="10:10">
      <c r="J1344"/>
    </row>
    <row r="1345" spans="10:10">
      <c r="J1345"/>
    </row>
    <row r="1346" spans="10:10">
      <c r="J1346"/>
    </row>
    <row r="1347" spans="10:10">
      <c r="J1347"/>
    </row>
    <row r="1348" spans="10:10">
      <c r="J1348"/>
    </row>
    <row r="1349" spans="10:10">
      <c r="J1349"/>
    </row>
    <row r="1350" spans="10:10">
      <c r="J1350"/>
    </row>
    <row r="1351" spans="10:10">
      <c r="J1351"/>
    </row>
    <row r="1352" spans="10:10">
      <c r="J1352"/>
    </row>
    <row r="1353" spans="10:10">
      <c r="J1353"/>
    </row>
    <row r="1354" spans="10:10">
      <c r="J1354"/>
    </row>
    <row r="1355" spans="10:10">
      <c r="J1355"/>
    </row>
    <row r="1356" spans="10:10">
      <c r="J1356"/>
    </row>
    <row r="1357" spans="10:10">
      <c r="J1357"/>
    </row>
    <row r="1358" spans="10:10">
      <c r="J1358"/>
    </row>
    <row r="1359" spans="10:10">
      <c r="J1359"/>
    </row>
    <row r="1360" spans="10:10">
      <c r="J1360"/>
    </row>
    <row r="1361" spans="10:10">
      <c r="J1361"/>
    </row>
    <row r="1362" spans="10:10">
      <c r="J1362"/>
    </row>
    <row r="1363" spans="10:10">
      <c r="J1363"/>
    </row>
    <row r="1364" spans="10:10">
      <c r="J1364"/>
    </row>
    <row r="1365" spans="10:10">
      <c r="J1365"/>
    </row>
    <row r="1366" spans="10:10">
      <c r="J1366"/>
    </row>
    <row r="1367" spans="10:10">
      <c r="J1367"/>
    </row>
    <row r="1368" spans="10:10">
      <c r="J1368"/>
    </row>
    <row r="1369" spans="10:10">
      <c r="J1369"/>
    </row>
    <row r="1370" spans="10:10">
      <c r="J1370"/>
    </row>
    <row r="1371" spans="10:10">
      <c r="J1371"/>
    </row>
    <row r="1372" spans="10:10">
      <c r="J1372"/>
    </row>
    <row r="1373" spans="10:10">
      <c r="J1373"/>
    </row>
    <row r="1374" spans="10:10">
      <c r="J1374"/>
    </row>
    <row r="1375" spans="10:10">
      <c r="J1375"/>
    </row>
    <row r="1376" spans="10:10">
      <c r="J1376"/>
    </row>
    <row r="1377" spans="10:10">
      <c r="J1377"/>
    </row>
    <row r="1378" spans="10:10">
      <c r="J1378"/>
    </row>
    <row r="1379" spans="10:10">
      <c r="J1379"/>
    </row>
    <row r="1380" spans="10:10">
      <c r="J1380"/>
    </row>
    <row r="1381" spans="10:10">
      <c r="J1381"/>
    </row>
    <row r="1382" spans="10:10">
      <c r="J1382"/>
    </row>
    <row r="1383" spans="10:10">
      <c r="J1383"/>
    </row>
    <row r="1384" spans="10:10">
      <c r="J1384"/>
    </row>
    <row r="1385" spans="10:10">
      <c r="J1385"/>
    </row>
    <row r="1386" spans="10:10">
      <c r="J1386"/>
    </row>
    <row r="1387" spans="10:10">
      <c r="J1387"/>
    </row>
    <row r="1388" spans="10:10">
      <c r="J1388"/>
    </row>
    <row r="1389" spans="10:10">
      <c r="J1389"/>
    </row>
    <row r="1390" spans="10:10">
      <c r="J1390"/>
    </row>
    <row r="1391" spans="10:10">
      <c r="J1391"/>
    </row>
    <row r="1392" spans="10:10">
      <c r="J1392"/>
    </row>
    <row r="1393" spans="10:10">
      <c r="J1393"/>
    </row>
    <row r="1394" spans="10:10">
      <c r="J1394"/>
    </row>
    <row r="1395" spans="10:10">
      <c r="J1395"/>
    </row>
    <row r="1396" spans="10:10">
      <c r="J1396"/>
    </row>
    <row r="1397" spans="10:10">
      <c r="J1397"/>
    </row>
    <row r="1398" spans="10:10">
      <c r="J1398"/>
    </row>
    <row r="1399" spans="10:10">
      <c r="J1399"/>
    </row>
    <row r="1400" spans="10:10">
      <c r="J1400"/>
    </row>
    <row r="1401" spans="10:10">
      <c r="J1401"/>
    </row>
    <row r="1402" spans="10:10">
      <c r="J1402"/>
    </row>
    <row r="1403" spans="10:10">
      <c r="J1403"/>
    </row>
    <row r="1404" spans="10:10">
      <c r="J1404"/>
    </row>
    <row r="1405" spans="10:10">
      <c r="J1405"/>
    </row>
    <row r="1406" spans="10:10">
      <c r="J1406"/>
    </row>
    <row r="1407" spans="10:10">
      <c r="J1407"/>
    </row>
    <row r="1408" spans="10:10">
      <c r="J1408"/>
    </row>
    <row r="1409" spans="10:10">
      <c r="J1409"/>
    </row>
    <row r="1410" spans="10:10">
      <c r="J1410"/>
    </row>
    <row r="1411" spans="10:10">
      <c r="J1411"/>
    </row>
    <row r="1412" spans="10:10">
      <c r="J1412"/>
    </row>
    <row r="1413" spans="10:10">
      <c r="J1413"/>
    </row>
    <row r="1414" spans="10:10">
      <c r="J1414"/>
    </row>
    <row r="1415" spans="10:10">
      <c r="J1415"/>
    </row>
    <row r="1416" spans="10:10">
      <c r="J1416"/>
    </row>
    <row r="1417" spans="10:10">
      <c r="J1417"/>
    </row>
    <row r="1418" spans="10:10">
      <c r="J1418"/>
    </row>
    <row r="1419" spans="10:10">
      <c r="J1419"/>
    </row>
    <row r="1420" spans="10:10">
      <c r="J1420"/>
    </row>
    <row r="1421" spans="10:10">
      <c r="J1421"/>
    </row>
    <row r="1422" spans="10:10">
      <c r="J1422"/>
    </row>
    <row r="1423" spans="10:10">
      <c r="J1423"/>
    </row>
    <row r="1424" spans="10:10">
      <c r="J1424"/>
    </row>
    <row r="1425" spans="10:10">
      <c r="J1425"/>
    </row>
    <row r="1426" spans="10:10">
      <c r="J1426"/>
    </row>
    <row r="1427" spans="10:10">
      <c r="J1427"/>
    </row>
    <row r="1428" spans="10:10">
      <c r="J1428"/>
    </row>
    <row r="1429" spans="10:10">
      <c r="J1429"/>
    </row>
    <row r="1430" spans="10:10">
      <c r="J1430"/>
    </row>
    <row r="1431" spans="10:10">
      <c r="J1431"/>
    </row>
    <row r="1432" spans="10:10">
      <c r="J1432"/>
    </row>
    <row r="1433" spans="10:10">
      <c r="J1433"/>
    </row>
    <row r="1434" spans="10:10">
      <c r="J1434"/>
    </row>
    <row r="1435" spans="10:10">
      <c r="J1435"/>
    </row>
    <row r="1436" spans="10:10">
      <c r="J1436"/>
    </row>
    <row r="1437" spans="10:10">
      <c r="J1437"/>
    </row>
    <row r="1438" spans="10:10">
      <c r="J1438"/>
    </row>
    <row r="1439" spans="10:10">
      <c r="J1439"/>
    </row>
    <row r="1440" spans="10:10">
      <c r="J1440"/>
    </row>
    <row r="1441" spans="10:10">
      <c r="J1441"/>
    </row>
    <row r="1442" spans="10:10">
      <c r="J1442"/>
    </row>
    <row r="1443" spans="10:10">
      <c r="J1443"/>
    </row>
    <row r="1444" spans="10:10">
      <c r="J1444"/>
    </row>
    <row r="1445" spans="10:10">
      <c r="J1445"/>
    </row>
    <row r="1446" spans="10:10">
      <c r="J1446"/>
    </row>
    <row r="1447" spans="10:10">
      <c r="J1447"/>
    </row>
    <row r="1448" spans="10:10">
      <c r="J1448"/>
    </row>
    <row r="1449" spans="10:10">
      <c r="J1449"/>
    </row>
    <row r="1450" spans="10:10">
      <c r="J1450"/>
    </row>
    <row r="1451" spans="10:10">
      <c r="J1451"/>
    </row>
    <row r="1452" spans="10:10">
      <c r="J1452"/>
    </row>
    <row r="1453" spans="10:10">
      <c r="J1453"/>
    </row>
    <row r="1454" spans="10:10">
      <c r="J1454"/>
    </row>
    <row r="1455" spans="10:10">
      <c r="J1455"/>
    </row>
    <row r="1456" spans="10:10">
      <c r="J1456"/>
    </row>
    <row r="1457" spans="10:10">
      <c r="J1457"/>
    </row>
    <row r="1458" spans="10:10">
      <c r="J1458"/>
    </row>
    <row r="1459" spans="10:10">
      <c r="J1459"/>
    </row>
    <row r="1460" spans="10:10">
      <c r="J1460"/>
    </row>
    <row r="1461" spans="10:10">
      <c r="J1461"/>
    </row>
    <row r="1462" spans="10:10">
      <c r="J1462"/>
    </row>
    <row r="1463" spans="10:10">
      <c r="J1463"/>
    </row>
    <row r="1464" spans="10:10">
      <c r="J1464"/>
    </row>
    <row r="1465" spans="10:10">
      <c r="J1465"/>
    </row>
    <row r="1466" spans="10:10">
      <c r="J1466"/>
    </row>
    <row r="1467" spans="10:10">
      <c r="J1467"/>
    </row>
    <row r="1468" spans="10:10">
      <c r="J1468"/>
    </row>
    <row r="1469" spans="10:10">
      <c r="J1469"/>
    </row>
    <row r="1470" spans="10:10">
      <c r="J1470"/>
    </row>
    <row r="1471" spans="10:10">
      <c r="J1471"/>
    </row>
    <row r="1472" spans="10:10">
      <c r="J1472"/>
    </row>
    <row r="1473" spans="10:10">
      <c r="J1473"/>
    </row>
    <row r="1474" spans="10:10">
      <c r="J1474"/>
    </row>
    <row r="1475" spans="10:10">
      <c r="J1475"/>
    </row>
    <row r="1476" spans="10:10">
      <c r="J1476"/>
    </row>
    <row r="1477" spans="10:10">
      <c r="J1477"/>
    </row>
    <row r="1478" spans="10:10">
      <c r="J1478"/>
    </row>
    <row r="1479" spans="10:10">
      <c r="J1479"/>
    </row>
    <row r="1480" spans="10:10">
      <c r="J1480"/>
    </row>
    <row r="1481" spans="10:10">
      <c r="J1481"/>
    </row>
    <row r="1482" spans="10:10">
      <c r="J1482"/>
    </row>
    <row r="1483" spans="10:10">
      <c r="J1483"/>
    </row>
    <row r="1484" spans="10:10">
      <c r="J1484"/>
    </row>
    <row r="1485" spans="10:10">
      <c r="J1485"/>
    </row>
    <row r="1486" spans="10:10">
      <c r="J1486"/>
    </row>
    <row r="1487" spans="10:10">
      <c r="J1487"/>
    </row>
    <row r="1488" spans="10:10">
      <c r="J1488"/>
    </row>
    <row r="1489" spans="10:10">
      <c r="J1489"/>
    </row>
    <row r="1490" spans="10:10">
      <c r="J1490"/>
    </row>
    <row r="1491" spans="10:10">
      <c r="J1491"/>
    </row>
    <row r="1492" spans="10:10">
      <c r="J1492"/>
    </row>
    <row r="1493" spans="10:10">
      <c r="J1493"/>
    </row>
    <row r="1494" spans="10:10">
      <c r="J1494"/>
    </row>
    <row r="1495" spans="10:10">
      <c r="J1495"/>
    </row>
    <row r="1496" spans="10:10">
      <c r="J1496"/>
    </row>
    <row r="1497" spans="10:10">
      <c r="J1497"/>
    </row>
    <row r="1498" spans="10:10">
      <c r="J1498"/>
    </row>
    <row r="1499" spans="10:10">
      <c r="J1499"/>
    </row>
    <row r="1500" spans="10:10">
      <c r="J1500"/>
    </row>
    <row r="1501" spans="10:10">
      <c r="J1501"/>
    </row>
    <row r="1502" spans="10:10">
      <c r="J1502"/>
    </row>
    <row r="1503" spans="10:10">
      <c r="J1503"/>
    </row>
    <row r="1504" spans="10:10">
      <c r="J1504"/>
    </row>
    <row r="1505" spans="10:10">
      <c r="J1505"/>
    </row>
    <row r="1506" spans="10:10">
      <c r="J1506"/>
    </row>
    <row r="1507" spans="10:10">
      <c r="J1507"/>
    </row>
    <row r="1508" spans="10:10">
      <c r="J1508"/>
    </row>
    <row r="1509" spans="10:10">
      <c r="J1509"/>
    </row>
    <row r="1510" spans="10:10">
      <c r="J1510"/>
    </row>
    <row r="1511" spans="10:10">
      <c r="J1511"/>
    </row>
    <row r="1512" spans="10:10">
      <c r="J1512"/>
    </row>
    <row r="1513" spans="10:10">
      <c r="J1513"/>
    </row>
    <row r="1514" spans="10:10">
      <c r="J1514"/>
    </row>
    <row r="1515" spans="10:10">
      <c r="J1515"/>
    </row>
    <row r="1516" spans="10:10">
      <c r="J1516"/>
    </row>
    <row r="1517" spans="10:10">
      <c r="J1517"/>
    </row>
    <row r="1518" spans="10:10">
      <c r="J1518"/>
    </row>
    <row r="1519" spans="10:10">
      <c r="J1519"/>
    </row>
    <row r="1520" spans="10:10">
      <c r="J1520"/>
    </row>
    <row r="1521" spans="10:10">
      <c r="J1521"/>
    </row>
    <row r="1522" spans="10:10">
      <c r="J1522"/>
    </row>
    <row r="1523" spans="10:10">
      <c r="J1523"/>
    </row>
    <row r="1524" spans="10:10">
      <c r="J1524"/>
    </row>
    <row r="1525" spans="10:10">
      <c r="J1525"/>
    </row>
    <row r="1526" spans="10:10">
      <c r="J1526"/>
    </row>
    <row r="1527" spans="10:10">
      <c r="J1527"/>
    </row>
    <row r="1528" spans="10:10">
      <c r="J1528"/>
    </row>
    <row r="1529" spans="10:10">
      <c r="J1529"/>
    </row>
    <row r="1530" spans="10:10">
      <c r="J1530"/>
    </row>
    <row r="1531" spans="10:10">
      <c r="J1531"/>
    </row>
    <row r="1532" spans="10:10">
      <c r="J1532"/>
    </row>
    <row r="1533" spans="10:10">
      <c r="J1533"/>
    </row>
    <row r="1534" spans="10:10">
      <c r="J1534"/>
    </row>
    <row r="1535" spans="10:10">
      <c r="J1535"/>
    </row>
    <row r="1536" spans="10:10">
      <c r="J1536"/>
    </row>
    <row r="1537" spans="10:10">
      <c r="J1537"/>
    </row>
    <row r="1538" spans="10:10">
      <c r="J1538"/>
    </row>
    <row r="1539" spans="10:10">
      <c r="J1539"/>
    </row>
    <row r="1540" spans="10:10">
      <c r="J1540"/>
    </row>
    <row r="1541" spans="10:10">
      <c r="J1541"/>
    </row>
    <row r="1542" spans="10:10">
      <c r="J1542"/>
    </row>
    <row r="1543" spans="10:10">
      <c r="J1543"/>
    </row>
    <row r="1544" spans="10:10">
      <c r="J1544"/>
    </row>
    <row r="1545" spans="10:10">
      <c r="J1545"/>
    </row>
    <row r="1546" spans="10:10">
      <c r="J1546"/>
    </row>
    <row r="1547" spans="10:10">
      <c r="J1547"/>
    </row>
    <row r="1548" spans="10:10">
      <c r="J1548"/>
    </row>
    <row r="1549" spans="10:10">
      <c r="J1549"/>
    </row>
    <row r="1550" spans="10:10">
      <c r="J1550"/>
    </row>
    <row r="1551" spans="10:10">
      <c r="J1551"/>
    </row>
    <row r="1552" spans="10:10">
      <c r="J1552"/>
    </row>
    <row r="1553" spans="10:10">
      <c r="J1553"/>
    </row>
    <row r="1554" spans="10:10">
      <c r="J1554"/>
    </row>
    <row r="1555" spans="10:10">
      <c r="J1555"/>
    </row>
    <row r="1556" spans="10:10">
      <c r="J1556"/>
    </row>
    <row r="1557" spans="10:10">
      <c r="J1557"/>
    </row>
    <row r="1558" spans="10:10">
      <c r="J1558"/>
    </row>
    <row r="1559" spans="10:10">
      <c r="J1559"/>
    </row>
    <row r="1560" spans="10:10">
      <c r="J1560"/>
    </row>
    <row r="1561" spans="10:10">
      <c r="J1561"/>
    </row>
    <row r="1562" spans="10:10">
      <c r="J1562"/>
    </row>
    <row r="1563" spans="10:10">
      <c r="J1563"/>
    </row>
    <row r="1564" spans="10:10">
      <c r="J1564"/>
    </row>
    <row r="1565" spans="10:10">
      <c r="J1565"/>
    </row>
    <row r="1566" spans="10:10">
      <c r="J1566"/>
    </row>
    <row r="1567" spans="10:10">
      <c r="J1567"/>
    </row>
    <row r="1568" spans="10:10">
      <c r="J1568"/>
    </row>
    <row r="1569" spans="10:10">
      <c r="J1569"/>
    </row>
    <row r="1570" spans="10:10">
      <c r="J1570"/>
    </row>
    <row r="1571" spans="10:10">
      <c r="J1571"/>
    </row>
    <row r="1572" spans="10:10">
      <c r="J1572"/>
    </row>
    <row r="1573" spans="10:10">
      <c r="J1573"/>
    </row>
    <row r="1574" spans="10:10">
      <c r="J1574"/>
    </row>
    <row r="1575" spans="10:10">
      <c r="J1575"/>
    </row>
    <row r="1576" spans="10:10">
      <c r="J1576"/>
    </row>
    <row r="1577" spans="10:10">
      <c r="J1577"/>
    </row>
    <row r="1578" spans="10:10">
      <c r="J1578"/>
    </row>
    <row r="1579" spans="10:10">
      <c r="J1579"/>
    </row>
    <row r="1580" spans="10:10">
      <c r="J1580"/>
    </row>
    <row r="1581" spans="10:10">
      <c r="J1581"/>
    </row>
    <row r="1582" spans="10:10">
      <c r="J1582"/>
    </row>
    <row r="1583" spans="10:10">
      <c r="J1583"/>
    </row>
    <row r="1584" spans="10:10">
      <c r="J1584"/>
    </row>
    <row r="1585" spans="10:10">
      <c r="J1585"/>
    </row>
    <row r="1586" spans="10:10">
      <c r="J1586"/>
    </row>
    <row r="1587" spans="10:10">
      <c r="J1587"/>
    </row>
    <row r="1588" spans="10:10">
      <c r="J1588"/>
    </row>
    <row r="1589" spans="10:10">
      <c r="J1589"/>
    </row>
    <row r="1590" spans="10:10">
      <c r="J1590"/>
    </row>
    <row r="1591" spans="10:10">
      <c r="J1591"/>
    </row>
    <row r="1592" spans="10:10">
      <c r="J1592"/>
    </row>
    <row r="1593" spans="10:10">
      <c r="J1593"/>
    </row>
    <row r="1594" spans="10:10">
      <c r="J1594"/>
    </row>
    <row r="1595" spans="10:10">
      <c r="J1595"/>
    </row>
    <row r="1596" spans="10:10">
      <c r="J1596"/>
    </row>
    <row r="1597" spans="10:10">
      <c r="J1597"/>
    </row>
    <row r="1598" spans="10:10">
      <c r="J1598"/>
    </row>
    <row r="1599" spans="10:10">
      <c r="J1599"/>
    </row>
    <row r="1600" spans="10:10">
      <c r="J1600"/>
    </row>
    <row r="1601" spans="10:10">
      <c r="J1601"/>
    </row>
    <row r="1602" spans="10:10">
      <c r="J1602"/>
    </row>
    <row r="1603" spans="10:10">
      <c r="J1603"/>
    </row>
    <row r="1604" spans="10:10">
      <c r="J1604"/>
    </row>
    <row r="1605" spans="10:10">
      <c r="J1605"/>
    </row>
    <row r="1606" spans="10:10">
      <c r="J1606"/>
    </row>
    <row r="1607" spans="10:10">
      <c r="J1607"/>
    </row>
    <row r="1608" spans="10:10">
      <c r="J1608"/>
    </row>
    <row r="1609" spans="10:10">
      <c r="J1609"/>
    </row>
    <row r="1610" spans="10:10">
      <c r="J1610"/>
    </row>
    <row r="1611" spans="10:10">
      <c r="J1611"/>
    </row>
    <row r="1612" spans="10:10">
      <c r="J1612"/>
    </row>
    <row r="1613" spans="10:10">
      <c r="J1613"/>
    </row>
    <row r="1614" spans="10:10">
      <c r="J1614"/>
    </row>
    <row r="1615" spans="10:10">
      <c r="J1615"/>
    </row>
    <row r="1616" spans="10:10">
      <c r="J1616"/>
    </row>
    <row r="1617" spans="10:10">
      <c r="J1617"/>
    </row>
    <row r="1618" spans="10:10">
      <c r="J1618"/>
    </row>
    <row r="1619" spans="10:10">
      <c r="J1619"/>
    </row>
    <row r="1620" spans="10:10">
      <c r="J1620"/>
    </row>
    <row r="1621" spans="10:10">
      <c r="J1621"/>
    </row>
    <row r="1622" spans="10:10">
      <c r="J1622"/>
    </row>
    <row r="1623" spans="10:10">
      <c r="J1623"/>
    </row>
    <row r="1624" spans="10:10">
      <c r="J1624"/>
    </row>
    <row r="1625" spans="10:10">
      <c r="J1625"/>
    </row>
    <row r="1626" spans="10:10">
      <c r="J1626"/>
    </row>
    <row r="1627" spans="10:10">
      <c r="J1627"/>
    </row>
    <row r="1628" spans="10:10">
      <c r="J1628"/>
    </row>
    <row r="1629" spans="10:10">
      <c r="J1629"/>
    </row>
    <row r="1630" spans="10:10">
      <c r="J1630"/>
    </row>
    <row r="1631" spans="10:10">
      <c r="J1631"/>
    </row>
    <row r="1632" spans="10:10">
      <c r="J1632"/>
    </row>
    <row r="1633" spans="10:10">
      <c r="J1633"/>
    </row>
    <row r="1634" spans="10:10">
      <c r="J1634"/>
    </row>
    <row r="1635" spans="10:10">
      <c r="J1635"/>
    </row>
    <row r="1636" spans="10:10">
      <c r="J1636"/>
    </row>
    <row r="1637" spans="10:10">
      <c r="J1637"/>
    </row>
    <row r="1638" spans="10:10">
      <c r="J1638"/>
    </row>
    <row r="1639" spans="10:10">
      <c r="J1639"/>
    </row>
    <row r="1640" spans="10:10">
      <c r="J1640"/>
    </row>
    <row r="1641" spans="10:10">
      <c r="J1641"/>
    </row>
    <row r="1642" spans="10:10">
      <c r="J1642"/>
    </row>
    <row r="1643" spans="10:10">
      <c r="J1643"/>
    </row>
    <row r="1644" spans="10:10">
      <c r="J1644"/>
    </row>
    <row r="1645" spans="10:10">
      <c r="J1645"/>
    </row>
    <row r="1646" spans="10:10">
      <c r="J1646"/>
    </row>
    <row r="1647" spans="10:10">
      <c r="J1647"/>
    </row>
    <row r="1648" spans="10:10">
      <c r="J1648"/>
    </row>
    <row r="1649" spans="10:10">
      <c r="J1649"/>
    </row>
    <row r="1650" spans="10:10">
      <c r="J1650"/>
    </row>
    <row r="1651" spans="10:10">
      <c r="J1651"/>
    </row>
    <row r="1652" spans="10:10">
      <c r="J1652"/>
    </row>
    <row r="1653" spans="10:10">
      <c r="J1653"/>
    </row>
    <row r="1654" spans="10:10">
      <c r="J1654"/>
    </row>
    <row r="1655" spans="10:10">
      <c r="J1655"/>
    </row>
    <row r="1656" spans="10:10">
      <c r="J1656"/>
    </row>
    <row r="1657" spans="10:10">
      <c r="J1657"/>
    </row>
    <row r="1658" spans="10:10">
      <c r="J1658"/>
    </row>
    <row r="1659" spans="10:10">
      <c r="J1659"/>
    </row>
    <row r="1660" spans="10:10">
      <c r="J1660"/>
    </row>
    <row r="1661" spans="10:10">
      <c r="J1661"/>
    </row>
    <row r="1662" spans="10:10">
      <c r="J1662"/>
    </row>
    <row r="1663" spans="10:10">
      <c r="J1663"/>
    </row>
    <row r="1664" spans="10:10">
      <c r="J1664"/>
    </row>
    <row r="1665" spans="10:10">
      <c r="J1665"/>
    </row>
    <row r="1666" spans="10:10">
      <c r="J1666"/>
    </row>
    <row r="1667" spans="10:10">
      <c r="J1667"/>
    </row>
    <row r="1668" spans="10:10">
      <c r="J1668"/>
    </row>
    <row r="1669" spans="10:10">
      <c r="J1669"/>
    </row>
    <row r="1670" spans="10:10">
      <c r="J1670"/>
    </row>
    <row r="1671" spans="10:10">
      <c r="J1671"/>
    </row>
    <row r="1672" spans="10:10">
      <c r="J1672"/>
    </row>
    <row r="1673" spans="10:10">
      <c r="J1673"/>
    </row>
    <row r="1674" spans="10:10">
      <c r="J1674"/>
    </row>
    <row r="1675" spans="10:10">
      <c r="J1675"/>
    </row>
    <row r="1676" spans="10:10">
      <c r="J1676"/>
    </row>
    <row r="1677" spans="10:10">
      <c r="J1677"/>
    </row>
    <row r="1678" spans="10:10">
      <c r="J1678"/>
    </row>
    <row r="1679" spans="10:10">
      <c r="J1679"/>
    </row>
    <row r="1680" spans="10:10">
      <c r="J1680"/>
    </row>
    <row r="1681" spans="10:10">
      <c r="J1681"/>
    </row>
    <row r="1682" spans="10:10">
      <c r="J1682"/>
    </row>
    <row r="1683" spans="10:10">
      <c r="J1683"/>
    </row>
    <row r="1684" spans="10:10">
      <c r="J1684"/>
    </row>
    <row r="1685" spans="10:10">
      <c r="J1685"/>
    </row>
    <row r="1686" spans="10:10">
      <c r="J1686"/>
    </row>
    <row r="1687" spans="10:10">
      <c r="J1687"/>
    </row>
    <row r="1688" spans="10:10">
      <c r="J1688"/>
    </row>
    <row r="1689" spans="10:10">
      <c r="J1689"/>
    </row>
    <row r="1690" spans="10:10">
      <c r="J1690"/>
    </row>
    <row r="1691" spans="10:10">
      <c r="J1691"/>
    </row>
    <row r="1692" spans="10:10">
      <c r="J1692"/>
    </row>
    <row r="1693" spans="10:10">
      <c r="J1693"/>
    </row>
    <row r="1694" spans="10:10">
      <c r="J1694"/>
    </row>
    <row r="1695" spans="10:10">
      <c r="J1695"/>
    </row>
    <row r="1696" spans="10:10">
      <c r="J1696"/>
    </row>
    <row r="1697" spans="10:10">
      <c r="J1697"/>
    </row>
    <row r="1698" spans="10:10">
      <c r="J1698"/>
    </row>
    <row r="1699" spans="10:10">
      <c r="J1699"/>
    </row>
    <row r="1700" spans="10:10">
      <c r="J1700"/>
    </row>
    <row r="1701" spans="10:10">
      <c r="J1701"/>
    </row>
    <row r="1702" spans="10:10">
      <c r="J1702"/>
    </row>
    <row r="1703" spans="10:10">
      <c r="J1703"/>
    </row>
    <row r="1704" spans="10:10">
      <c r="J1704"/>
    </row>
    <row r="1705" spans="10:10">
      <c r="J1705"/>
    </row>
    <row r="1706" spans="10:10">
      <c r="J1706"/>
    </row>
    <row r="1707" spans="10:10">
      <c r="J1707"/>
    </row>
    <row r="1708" spans="10:10">
      <c r="J1708"/>
    </row>
    <row r="1709" spans="10:10">
      <c r="J1709"/>
    </row>
    <row r="1710" spans="10:10">
      <c r="J1710"/>
    </row>
    <row r="1711" spans="10:10">
      <c r="J1711"/>
    </row>
    <row r="1712" spans="10:10">
      <c r="J1712"/>
    </row>
    <row r="1713" spans="10:10">
      <c r="J1713"/>
    </row>
    <row r="1714" spans="10:10">
      <c r="J1714"/>
    </row>
    <row r="1715" spans="10:10">
      <c r="J1715"/>
    </row>
    <row r="1716" spans="10:10">
      <c r="J1716"/>
    </row>
    <row r="1717" spans="10:10">
      <c r="J1717"/>
    </row>
    <row r="1718" spans="10:10">
      <c r="J1718"/>
    </row>
    <row r="1719" spans="10:10">
      <c r="J1719"/>
    </row>
    <row r="1720" spans="10:10">
      <c r="J1720"/>
    </row>
    <row r="1721" spans="10:10">
      <c r="J1721"/>
    </row>
    <row r="1722" spans="10:10">
      <c r="J1722"/>
    </row>
    <row r="1723" spans="10:10">
      <c r="J1723"/>
    </row>
    <row r="1724" spans="10:10">
      <c r="J1724"/>
    </row>
    <row r="1725" spans="10:10">
      <c r="J1725"/>
    </row>
    <row r="1726" spans="10:10">
      <c r="J1726"/>
    </row>
    <row r="1727" spans="10:10">
      <c r="J1727"/>
    </row>
    <row r="1728" spans="10:10">
      <c r="J1728"/>
    </row>
    <row r="1729" spans="10:10">
      <c r="J1729"/>
    </row>
    <row r="1730" spans="10:10">
      <c r="J1730"/>
    </row>
    <row r="1731" spans="10:10">
      <c r="J1731"/>
    </row>
    <row r="1732" spans="10:10">
      <c r="J1732"/>
    </row>
    <row r="1733" spans="10:10">
      <c r="J1733"/>
    </row>
    <row r="1734" spans="10:10">
      <c r="J1734"/>
    </row>
    <row r="1735" spans="10:10">
      <c r="J1735"/>
    </row>
    <row r="1736" spans="10:10">
      <c r="J1736"/>
    </row>
    <row r="1737" spans="10:10">
      <c r="J1737"/>
    </row>
    <row r="1738" spans="10:10">
      <c r="J1738"/>
    </row>
    <row r="1739" spans="10:10">
      <c r="J1739"/>
    </row>
    <row r="1740" spans="10:10">
      <c r="J1740"/>
    </row>
    <row r="1741" spans="10:10">
      <c r="J1741"/>
    </row>
    <row r="1742" spans="10:10">
      <c r="J1742"/>
    </row>
    <row r="1743" spans="10:10">
      <c r="J1743"/>
    </row>
    <row r="1744" spans="10:10">
      <c r="J1744"/>
    </row>
    <row r="1745" spans="10:10">
      <c r="J1745"/>
    </row>
    <row r="1746" spans="10:10">
      <c r="J1746"/>
    </row>
    <row r="1747" spans="10:10">
      <c r="J1747"/>
    </row>
    <row r="1748" spans="10:10">
      <c r="J1748"/>
    </row>
    <row r="1749" spans="10:10">
      <c r="J1749"/>
    </row>
    <row r="1750" spans="10:10">
      <c r="J1750"/>
    </row>
    <row r="1751" spans="10:10">
      <c r="J1751"/>
    </row>
    <row r="1752" spans="10:10">
      <c r="J1752"/>
    </row>
    <row r="1753" spans="10:10">
      <c r="J1753"/>
    </row>
    <row r="1754" spans="10:10">
      <c r="J1754"/>
    </row>
    <row r="1755" spans="10:10">
      <c r="J1755"/>
    </row>
    <row r="1756" spans="10:10">
      <c r="J1756"/>
    </row>
    <row r="1757" spans="10:10">
      <c r="J1757"/>
    </row>
    <row r="1758" spans="10:10">
      <c r="J1758"/>
    </row>
    <row r="1759" spans="10:10">
      <c r="J1759"/>
    </row>
    <row r="1760" spans="10:10">
      <c r="J1760"/>
    </row>
    <row r="1761" spans="10:10">
      <c r="J1761"/>
    </row>
    <row r="1762" spans="10:10">
      <c r="J1762"/>
    </row>
    <row r="1763" spans="10:10">
      <c r="J1763"/>
    </row>
    <row r="1764" spans="10:10">
      <c r="J1764"/>
    </row>
    <row r="1765" spans="10:10">
      <c r="J1765"/>
    </row>
    <row r="1766" spans="10:10">
      <c r="J1766"/>
    </row>
    <row r="1767" spans="10:10">
      <c r="J1767"/>
    </row>
    <row r="1768" spans="10:10">
      <c r="J1768"/>
    </row>
    <row r="1769" spans="10:10">
      <c r="J1769"/>
    </row>
    <row r="1770" spans="10:10">
      <c r="J1770"/>
    </row>
    <row r="1771" spans="10:10">
      <c r="J1771"/>
    </row>
    <row r="1772" spans="10:10">
      <c r="J1772"/>
    </row>
    <row r="1773" spans="10:10">
      <c r="J1773"/>
    </row>
    <row r="1774" spans="10:10">
      <c r="J1774"/>
    </row>
    <row r="1775" spans="10:10">
      <c r="J1775"/>
    </row>
    <row r="1776" spans="10:10">
      <c r="J1776"/>
    </row>
    <row r="1777" spans="10:10">
      <c r="J1777"/>
    </row>
    <row r="1778" spans="10:10">
      <c r="J1778"/>
    </row>
    <row r="1779" spans="10:10">
      <c r="J1779"/>
    </row>
    <row r="1780" spans="10:10">
      <c r="J1780"/>
    </row>
    <row r="1781" spans="10:10">
      <c r="J1781"/>
    </row>
    <row r="1782" spans="10:10">
      <c r="J1782"/>
    </row>
    <row r="1783" spans="10:10">
      <c r="J1783"/>
    </row>
    <row r="1784" spans="10:10">
      <c r="J1784"/>
    </row>
    <row r="1785" spans="10:10">
      <c r="J1785"/>
    </row>
    <row r="1786" spans="10:10">
      <c r="J1786"/>
    </row>
    <row r="1787" spans="10:10">
      <c r="J1787"/>
    </row>
    <row r="1788" spans="10:10">
      <c r="J1788"/>
    </row>
    <row r="1789" spans="10:10">
      <c r="J1789"/>
    </row>
    <row r="1790" spans="10:10">
      <c r="J1790"/>
    </row>
    <row r="1791" spans="10:10">
      <c r="J1791"/>
    </row>
    <row r="1792" spans="10:10">
      <c r="J1792"/>
    </row>
    <row r="1793" spans="10:10">
      <c r="J1793"/>
    </row>
    <row r="1794" spans="10:10">
      <c r="J1794"/>
    </row>
    <row r="1795" spans="10:10">
      <c r="J1795"/>
    </row>
    <row r="1796" spans="10:10">
      <c r="J1796"/>
    </row>
    <row r="1797" spans="10:10">
      <c r="J1797"/>
    </row>
    <row r="1798" spans="10:10">
      <c r="J1798"/>
    </row>
    <row r="1799" spans="10:10">
      <c r="J1799"/>
    </row>
    <row r="1800" spans="10:10">
      <c r="J1800"/>
    </row>
    <row r="1801" spans="10:10">
      <c r="J1801"/>
    </row>
    <row r="1802" spans="10:10">
      <c r="J1802"/>
    </row>
    <row r="1803" spans="10:10">
      <c r="J1803"/>
    </row>
    <row r="1804" spans="10:10">
      <c r="J1804"/>
    </row>
    <row r="1805" spans="10:10">
      <c r="J1805"/>
    </row>
    <row r="1806" spans="10:10">
      <c r="J1806"/>
    </row>
    <row r="1807" spans="10:10">
      <c r="J1807"/>
    </row>
    <row r="1808" spans="10:10">
      <c r="J1808"/>
    </row>
    <row r="1809" spans="10:10">
      <c r="J1809"/>
    </row>
    <row r="1810" spans="10:10">
      <c r="J1810"/>
    </row>
    <row r="1811" spans="10:10">
      <c r="J1811"/>
    </row>
    <row r="1812" spans="10:10">
      <c r="J1812"/>
    </row>
    <row r="1813" spans="10:10">
      <c r="J1813"/>
    </row>
    <row r="1814" spans="10:10">
      <c r="J1814"/>
    </row>
    <row r="1815" spans="10:10">
      <c r="J1815"/>
    </row>
    <row r="1816" spans="10:10">
      <c r="J1816"/>
    </row>
    <row r="1817" spans="10:10">
      <c r="J1817"/>
    </row>
    <row r="1818" spans="10:10">
      <c r="J1818"/>
    </row>
    <row r="1819" spans="10:10">
      <c r="J1819"/>
    </row>
    <row r="1820" spans="10:10">
      <c r="J1820"/>
    </row>
    <row r="1821" spans="10:10">
      <c r="J1821"/>
    </row>
    <row r="1822" spans="10:10">
      <c r="J1822"/>
    </row>
    <row r="1823" spans="10:10">
      <c r="J1823"/>
    </row>
    <row r="1824" spans="10:10">
      <c r="J1824"/>
    </row>
    <row r="1825" spans="10:10">
      <c r="J1825"/>
    </row>
    <row r="1826" spans="10:10">
      <c r="J1826"/>
    </row>
    <row r="1827" spans="10:10">
      <c r="J1827"/>
    </row>
    <row r="1828" spans="10:10">
      <c r="J1828"/>
    </row>
    <row r="1829" spans="10:10">
      <c r="J1829"/>
    </row>
    <row r="1830" spans="10:10">
      <c r="J1830"/>
    </row>
    <row r="1831" spans="10:10">
      <c r="J1831"/>
    </row>
    <row r="1832" spans="10:10">
      <c r="J1832"/>
    </row>
    <row r="1833" spans="10:10">
      <c r="J1833"/>
    </row>
    <row r="1834" spans="10:10">
      <c r="J1834"/>
    </row>
    <row r="1835" spans="10:10">
      <c r="J1835"/>
    </row>
    <row r="1836" spans="10:10">
      <c r="J1836"/>
    </row>
    <row r="1837" spans="10:10">
      <c r="J1837"/>
    </row>
    <row r="1838" spans="10:10">
      <c r="J1838"/>
    </row>
    <row r="1839" spans="10:10">
      <c r="J1839"/>
    </row>
    <row r="1840" spans="10:10">
      <c r="J1840"/>
    </row>
    <row r="1841" spans="10:10">
      <c r="J1841"/>
    </row>
    <row r="1842" spans="10:10">
      <c r="J1842"/>
    </row>
    <row r="1843" spans="10:10">
      <c r="J1843"/>
    </row>
    <row r="1844" spans="10:10">
      <c r="J1844"/>
    </row>
    <row r="1845" spans="10:10">
      <c r="J1845"/>
    </row>
    <row r="1846" spans="10:10">
      <c r="J1846"/>
    </row>
    <row r="1847" spans="10:10">
      <c r="J1847"/>
    </row>
    <row r="1848" spans="10:10">
      <c r="J1848"/>
    </row>
    <row r="1849" spans="10:10">
      <c r="J1849"/>
    </row>
    <row r="1850" spans="10:10">
      <c r="J1850"/>
    </row>
    <row r="1851" spans="10:10">
      <c r="J1851"/>
    </row>
    <row r="1852" spans="10:10">
      <c r="J1852"/>
    </row>
    <row r="1853" spans="10:10">
      <c r="J1853"/>
    </row>
    <row r="1854" spans="10:10">
      <c r="J1854"/>
    </row>
    <row r="1855" spans="10:10">
      <c r="J1855"/>
    </row>
    <row r="1856" spans="10:10">
      <c r="J1856"/>
    </row>
    <row r="1857" spans="10:10">
      <c r="J1857"/>
    </row>
    <row r="1858" spans="10:10">
      <c r="J1858"/>
    </row>
    <row r="1859" spans="10:10">
      <c r="J1859"/>
    </row>
    <row r="1860" spans="10:10">
      <c r="J1860"/>
    </row>
    <row r="1861" spans="10:10">
      <c r="J1861"/>
    </row>
    <row r="1862" spans="10:10">
      <c r="J1862"/>
    </row>
    <row r="1863" spans="10:10">
      <c r="J1863"/>
    </row>
    <row r="1864" spans="10:10">
      <c r="J1864"/>
    </row>
    <row r="1865" spans="10:10">
      <c r="J1865"/>
    </row>
    <row r="1866" spans="10:10">
      <c r="J1866"/>
    </row>
    <row r="1867" spans="10:10">
      <c r="J1867"/>
    </row>
    <row r="1868" spans="10:10">
      <c r="J1868"/>
    </row>
    <row r="1869" spans="10:10">
      <c r="J1869"/>
    </row>
    <row r="1870" spans="10:10">
      <c r="J1870"/>
    </row>
    <row r="1871" spans="10:10">
      <c r="J1871"/>
    </row>
    <row r="1872" spans="10:10">
      <c r="J1872"/>
    </row>
    <row r="1873" spans="10:10">
      <c r="J1873"/>
    </row>
    <row r="1874" spans="10:10">
      <c r="J1874"/>
    </row>
    <row r="1875" spans="10:10">
      <c r="J1875"/>
    </row>
    <row r="1876" spans="10:10">
      <c r="J1876"/>
    </row>
    <row r="1877" spans="10:10">
      <c r="J1877"/>
    </row>
    <row r="1878" spans="10:10">
      <c r="J1878"/>
    </row>
    <row r="1879" spans="10:10">
      <c r="J1879"/>
    </row>
    <row r="1880" spans="10:10">
      <c r="J1880"/>
    </row>
    <row r="1881" spans="10:10">
      <c r="J1881"/>
    </row>
    <row r="1882" spans="10:10">
      <c r="J1882"/>
    </row>
    <row r="1883" spans="10:10">
      <c r="J1883"/>
    </row>
    <row r="1884" spans="10:10">
      <c r="J1884"/>
    </row>
    <row r="1885" spans="10:10">
      <c r="J1885"/>
    </row>
    <row r="1886" spans="10:10">
      <c r="J1886"/>
    </row>
    <row r="1887" spans="10:10">
      <c r="J1887"/>
    </row>
    <row r="1888" spans="10:10">
      <c r="J1888"/>
    </row>
    <row r="1889" spans="10:10">
      <c r="J1889"/>
    </row>
    <row r="1890" spans="10:10">
      <c r="J1890"/>
    </row>
    <row r="1891" spans="10:10">
      <c r="J1891"/>
    </row>
    <row r="1892" spans="10:10">
      <c r="J1892"/>
    </row>
    <row r="1893" spans="10:10">
      <c r="J1893"/>
    </row>
    <row r="1894" spans="10:10">
      <c r="J1894"/>
    </row>
    <row r="1895" spans="10:10">
      <c r="J1895"/>
    </row>
    <row r="1896" spans="10:10">
      <c r="J1896"/>
    </row>
    <row r="1897" spans="10:10">
      <c r="J1897"/>
    </row>
    <row r="1898" spans="10:10">
      <c r="J1898"/>
    </row>
    <row r="1899" spans="10:10">
      <c r="J1899"/>
    </row>
    <row r="1900" spans="10:10">
      <c r="J1900"/>
    </row>
    <row r="1901" spans="10:10">
      <c r="J1901"/>
    </row>
    <row r="1902" spans="10:10">
      <c r="J1902"/>
    </row>
    <row r="1903" spans="10:10">
      <c r="J1903"/>
    </row>
    <row r="1904" spans="10:10">
      <c r="J1904"/>
    </row>
    <row r="1905" spans="10:10">
      <c r="J1905"/>
    </row>
    <row r="1906" spans="10:10">
      <c r="J1906"/>
    </row>
    <row r="1907" spans="10:10">
      <c r="J1907"/>
    </row>
    <row r="1908" spans="10:10">
      <c r="J1908"/>
    </row>
    <row r="1909" spans="10:10">
      <c r="J1909"/>
    </row>
    <row r="1910" spans="10:10">
      <c r="J1910"/>
    </row>
    <row r="1911" spans="10:10">
      <c r="J1911"/>
    </row>
    <row r="1912" spans="10:10">
      <c r="J1912"/>
    </row>
    <row r="1913" spans="10:10">
      <c r="J1913"/>
    </row>
    <row r="1914" spans="10:10">
      <c r="J1914"/>
    </row>
    <row r="1915" spans="10:10">
      <c r="J1915"/>
    </row>
    <row r="1916" spans="10:10">
      <c r="J1916"/>
    </row>
  </sheetData>
  <autoFilter ref="A1:O13" xr:uid="{00000000-0009-0000-0000-000000000000}">
    <filterColumn colId="11">
      <filters>
        <filter val="100,00%"/>
      </filters>
    </filterColumn>
  </autoFilter>
  <dataValidations count="3">
    <dataValidation allowBlank="1" showInputMessage="1" showErrorMessage="1" sqref="A13:A23" xr:uid="{A05D3881-3C3F-4736-8FA2-285B4EB7EBAC}"/>
    <dataValidation type="date" allowBlank="1" showInputMessage="1" showErrorMessage="1" sqref="F10:F11" xr:uid="{E2E69A9D-237C-485D-94FE-B94083C8A277}">
      <formula1>45292</formula1>
      <formula2>45657</formula2>
    </dataValidation>
    <dataValidation type="date" operator="greaterThan" allowBlank="1" showInputMessage="1" showErrorMessage="1" sqref="G10:G11" xr:uid="{1DA9F689-DE52-461B-BA6B-911900D9927E}">
      <formula1>44927</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2.xml><?xml version="1.0" encoding="utf-8"?>
<ds:datastoreItem xmlns:ds="http://schemas.openxmlformats.org/officeDocument/2006/customXml" ds:itemID="{81E32AC9-F128-4F60-AAD3-78227CE054B3}">
  <ds:schemaRefs>
    <ds:schemaRef ds:uri="http://www.w3.org/XML/1998/namespace"/>
    <ds:schemaRef ds:uri="fc9bb637-31a1-45e3-99d8-5503741ee48a"/>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68da5f85-e182-4cd5-ad53-4b88b7fa14a8"/>
    <ds:schemaRef ds:uri="http://schemas.microsoft.com/office/2006/metadata/properties"/>
  </ds:schemaRefs>
</ds:datastoreItem>
</file>

<file path=customXml/itemProps3.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2025-08-25T20:29:50Z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