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USUARIO\Desktop\"/>
    </mc:Choice>
  </mc:AlternateContent>
  <xr:revisionPtr revIDLastSave="0" documentId="8_{41C99DFB-C9B2-4AAC-82CF-DAE5FDE43B15}" xr6:coauthVersionLast="47" xr6:coauthVersionMax="47" xr10:uidLastSave="{00000000-0000-0000-0000-000000000000}"/>
  <bookViews>
    <workbookView xWindow="-120" yWindow="-120" windowWidth="24240" windowHeight="13020" xr2:uid="{00000000-000D-0000-FFFF-FFFF00000000}"/>
  </bookViews>
  <sheets>
    <sheet name="Hoja1" sheetId="2" r:id="rId1"/>
  </sheets>
  <definedNames>
    <definedName name="_xlnm._FilterDatabase" localSheetId="0" hidden="1">Hoja1!$A$1:$O$13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5" i="2" l="1"/>
  <c r="J181" i="2"/>
  <c r="J204" i="2"/>
  <c r="K275" i="2"/>
  <c r="L275" i="2" s="1"/>
  <c r="J280" i="2"/>
  <c r="K281" i="2"/>
  <c r="J279" i="2"/>
  <c r="J278" i="2"/>
  <c r="K277" i="2"/>
  <c r="L277" i="2" s="1"/>
  <c r="K278" i="2"/>
  <c r="L278" i="2" s="1"/>
  <c r="K279" i="2"/>
  <c r="L279" i="2" s="1"/>
  <c r="J276" i="2"/>
  <c r="J274" i="2"/>
  <c r="J273" i="2"/>
  <c r="J272" i="2"/>
  <c r="J271" i="2"/>
  <c r="J270" i="2"/>
  <c r="J269" i="2"/>
  <c r="J268" i="2"/>
  <c r="J267" i="2"/>
  <c r="J266" i="2"/>
  <c r="J264" i="2"/>
  <c r="J263" i="2"/>
  <c r="J262" i="2"/>
  <c r="J261" i="2"/>
  <c r="J260" i="2"/>
  <c r="J259" i="2"/>
  <c r="J257" i="2"/>
  <c r="J256" i="2"/>
  <c r="J255" i="2"/>
  <c r="J254" i="2"/>
  <c r="J253" i="2"/>
  <c r="J252" i="2"/>
  <c r="J250" i="2"/>
  <c r="J249" i="2"/>
  <c r="J248" i="2"/>
  <c r="J247" i="2"/>
  <c r="J246" i="2"/>
  <c r="J244" i="2"/>
  <c r="J243" i="2"/>
  <c r="J242" i="2"/>
  <c r="J241" i="2"/>
  <c r="J240" i="2"/>
  <c r="J239" i="2"/>
  <c r="J238" i="2"/>
  <c r="J237" i="2"/>
  <c r="J236" i="2"/>
  <c r="J234" i="2"/>
  <c r="J233" i="2"/>
  <c r="J232" i="2"/>
  <c r="J231" i="2"/>
  <c r="J230" i="2"/>
  <c r="J229" i="2"/>
  <c r="J228" i="2"/>
  <c r="J227" i="2"/>
  <c r="J226" i="2"/>
  <c r="J225" i="2"/>
  <c r="J224" i="2"/>
  <c r="J223" i="2"/>
  <c r="J221" i="2"/>
  <c r="J220" i="2"/>
  <c r="J218" i="2"/>
  <c r="J217" i="2"/>
  <c r="J215" i="2"/>
  <c r="J214" i="2"/>
  <c r="J213" i="2"/>
  <c r="J212" i="2"/>
  <c r="J211" i="2"/>
  <c r="J210" i="2"/>
  <c r="J209" i="2"/>
  <c r="J208" i="2"/>
  <c r="J206" i="2"/>
  <c r="J205" i="2"/>
  <c r="J203" i="2"/>
  <c r="J201" i="2"/>
  <c r="J199" i="2"/>
  <c r="J197" i="2"/>
  <c r="J196" i="2"/>
  <c r="J195" i="2"/>
  <c r="J194" i="2"/>
  <c r="J192" i="2"/>
  <c r="J191" i="2"/>
  <c r="J190" i="2"/>
  <c r="J189" i="2"/>
  <c r="J188" i="2"/>
  <c r="J187" i="2"/>
  <c r="J186" i="2"/>
  <c r="J185" i="2"/>
  <c r="J184" i="2"/>
  <c r="J183" i="2"/>
  <c r="J182" i="2"/>
  <c r="J180" i="2"/>
  <c r="J179" i="2"/>
  <c r="J178" i="2"/>
  <c r="J175" i="2"/>
  <c r="J174" i="2"/>
  <c r="J173" i="2"/>
  <c r="J172" i="2"/>
  <c r="J167" i="2"/>
  <c r="J165" i="2"/>
  <c r="J164" i="2"/>
  <c r="J163" i="2"/>
  <c r="J162" i="2"/>
  <c r="J160" i="2"/>
  <c r="J158" i="2"/>
  <c r="J157" i="2"/>
  <c r="J156" i="2"/>
  <c r="J155" i="2"/>
  <c r="J154" i="2"/>
  <c r="J153" i="2"/>
  <c r="J151" i="2"/>
  <c r="J150" i="2"/>
  <c r="J149" i="2"/>
  <c r="J148" i="2"/>
  <c r="J147" i="2"/>
  <c r="J146" i="2"/>
  <c r="J144" i="2"/>
  <c r="J143" i="2"/>
  <c r="J138" i="2"/>
  <c r="J142" i="2"/>
  <c r="J141" i="2"/>
  <c r="J137" i="2"/>
  <c r="J136" i="2"/>
  <c r="J135" i="2"/>
  <c r="J134" i="2"/>
  <c r="J132" i="2"/>
  <c r="J131" i="2"/>
  <c r="J130" i="2"/>
  <c r="J128" i="2"/>
  <c r="J125" i="2"/>
  <c r="J124" i="2"/>
  <c r="J122" i="2"/>
  <c r="J121" i="2"/>
  <c r="J119" i="2"/>
  <c r="J118" i="2"/>
  <c r="J117" i="2"/>
  <c r="J116" i="2"/>
  <c r="J115" i="2"/>
  <c r="J114" i="2"/>
  <c r="J113" i="2"/>
  <c r="J112" i="2"/>
  <c r="J111" i="2"/>
  <c r="J108" i="2"/>
  <c r="J107" i="2"/>
  <c r="J106" i="2"/>
  <c r="J105" i="2"/>
  <c r="J104" i="2"/>
  <c r="K104" i="2" s="1"/>
  <c r="J103" i="2"/>
  <c r="J102" i="2"/>
  <c r="J100" i="2"/>
  <c r="J98" i="2"/>
  <c r="J94" i="2"/>
  <c r="J93" i="2"/>
  <c r="J92" i="2"/>
  <c r="J90" i="2"/>
  <c r="J87" i="2"/>
  <c r="J86" i="2"/>
  <c r="J84" i="2"/>
  <c r="J83" i="2"/>
  <c r="J82" i="2"/>
  <c r="J74" i="2"/>
  <c r="J71" i="2"/>
  <c r="J70" i="2"/>
  <c r="J56" i="2"/>
  <c r="J55" i="2"/>
  <c r="J43" i="2"/>
  <c r="J33" i="2"/>
  <c r="J30" i="2"/>
  <c r="J8" i="2"/>
  <c r="K8" i="2"/>
  <c r="J9" i="2"/>
  <c r="J5" i="2"/>
  <c r="K5" i="2"/>
  <c r="J2" i="2"/>
  <c r="J4" i="2"/>
  <c r="J6" i="2"/>
  <c r="J48" i="2"/>
  <c r="J35" i="2"/>
  <c r="J198" i="2"/>
  <c r="J200" i="2"/>
  <c r="J171" i="2"/>
  <c r="J168" i="2"/>
  <c r="J20" i="2"/>
  <c r="J19" i="2"/>
  <c r="J16" i="2"/>
  <c r="J15" i="2"/>
  <c r="J14" i="2"/>
  <c r="K282" i="2"/>
  <c r="L282" i="2" s="1"/>
  <c r="K283" i="2"/>
  <c r="L283" i="2" s="1"/>
  <c r="K284" i="2"/>
  <c r="L284" i="2" s="1"/>
  <c r="K285" i="2"/>
  <c r="L285" i="2" s="1"/>
  <c r="K286" i="2"/>
  <c r="L286" i="2" s="1"/>
  <c r="K287" i="2"/>
  <c r="L287" i="2" s="1"/>
  <c r="K288" i="2"/>
  <c r="L288" i="2" s="1"/>
  <c r="K289" i="2"/>
  <c r="L289" i="2" s="1"/>
  <c r="K290" i="2"/>
  <c r="L290" i="2" s="1"/>
  <c r="K291" i="2"/>
  <c r="L291" i="2" s="1"/>
  <c r="K292" i="2"/>
  <c r="L292" i="2" s="1"/>
  <c r="K293" i="2"/>
  <c r="L293" i="2" s="1"/>
  <c r="K294" i="2"/>
  <c r="L294" i="2" s="1"/>
  <c r="K295" i="2"/>
  <c r="L295" i="2"/>
  <c r="K296" i="2"/>
  <c r="L296" i="2" s="1"/>
  <c r="K297" i="2"/>
  <c r="L297" i="2" s="1"/>
  <c r="K298" i="2"/>
  <c r="L298" i="2" s="1"/>
  <c r="K299" i="2"/>
  <c r="L299" i="2" s="1"/>
  <c r="K300" i="2"/>
  <c r="L300" i="2" s="1"/>
  <c r="K301" i="2"/>
  <c r="L301" i="2" s="1"/>
  <c r="K302" i="2"/>
  <c r="L302" i="2" s="1"/>
  <c r="K303" i="2"/>
  <c r="L303" i="2" s="1"/>
  <c r="K304" i="2"/>
  <c r="L304" i="2" s="1"/>
  <c r="K305" i="2"/>
  <c r="L305" i="2" s="1"/>
  <c r="K306" i="2"/>
  <c r="L306" i="2" s="1"/>
  <c r="K307" i="2"/>
  <c r="L307" i="2"/>
  <c r="K308" i="2"/>
  <c r="L308" i="2" s="1"/>
  <c r="K309" i="2"/>
  <c r="L309" i="2" s="1"/>
  <c r="K310" i="2"/>
  <c r="L310" i="2" s="1"/>
  <c r="K311" i="2"/>
  <c r="L311" i="2" s="1"/>
  <c r="K312" i="2"/>
  <c r="L312" i="2" s="1"/>
  <c r="K313" i="2"/>
  <c r="L313" i="2" s="1"/>
  <c r="K314" i="2"/>
  <c r="L314" i="2" s="1"/>
  <c r="K315" i="2"/>
  <c r="L315" i="2" s="1"/>
  <c r="J7" i="2" l="1"/>
  <c r="K7" i="2"/>
  <c r="L7" i="2" s="1"/>
  <c r="L3" i="2" l="1"/>
  <c r="K280" i="2"/>
  <c r="L280" i="2" s="1"/>
  <c r="L281" i="2"/>
  <c r="K273" i="2"/>
  <c r="L273" i="2" s="1"/>
  <c r="K272" i="2"/>
  <c r="K271" i="2"/>
  <c r="K276" i="2"/>
  <c r="L276" i="2" s="1"/>
  <c r="K274" i="2"/>
  <c r="L274" i="2" s="1"/>
  <c r="J193" i="2" l="1"/>
  <c r="J177" i="2"/>
  <c r="J176" i="2"/>
  <c r="J166" i="2"/>
  <c r="J152" i="2"/>
  <c r="J145" i="2"/>
  <c r="J133" i="2"/>
  <c r="J129" i="2"/>
  <c r="J127" i="2"/>
  <c r="J126" i="2"/>
  <c r="J123" i="2"/>
  <c r="J120" i="2"/>
  <c r="J109" i="2"/>
  <c r="J101" i="2"/>
  <c r="J99" i="2"/>
  <c r="J96" i="2"/>
  <c r="J91" i="2"/>
  <c r="J88" i="2"/>
  <c r="J79" i="2"/>
  <c r="J66" i="2"/>
  <c r="J64" i="2"/>
  <c r="J51" i="2"/>
  <c r="J72" i="2"/>
  <c r="J42" i="2"/>
  <c r="J73" i="2"/>
  <c r="K200" i="2" l="1"/>
  <c r="L272" i="2" l="1"/>
  <c r="K198" i="2"/>
  <c r="L198" i="2" s="1"/>
  <c r="K199" i="2"/>
  <c r="L199" i="2" s="1"/>
  <c r="L200" i="2"/>
  <c r="K201" i="2"/>
  <c r="L201" i="2" s="1"/>
  <c r="K202" i="2"/>
  <c r="L202" i="2" s="1"/>
  <c r="K203" i="2"/>
  <c r="L203" i="2" s="1"/>
  <c r="K204" i="2"/>
  <c r="L204" i="2" s="1"/>
  <c r="K205" i="2"/>
  <c r="L205" i="2" s="1"/>
  <c r="K206" i="2"/>
  <c r="L206" i="2" s="1"/>
  <c r="K207" i="2"/>
  <c r="L207" i="2" s="1"/>
  <c r="K208" i="2"/>
  <c r="L208" i="2" s="1"/>
  <c r="K209" i="2"/>
  <c r="L209" i="2" s="1"/>
  <c r="K210" i="2"/>
  <c r="L210" i="2" s="1"/>
  <c r="K211" i="2"/>
  <c r="L211" i="2" s="1"/>
  <c r="K212" i="2"/>
  <c r="L212" i="2" s="1"/>
  <c r="K213" i="2"/>
  <c r="L213" i="2" s="1"/>
  <c r="K214" i="2"/>
  <c r="L214" i="2" s="1"/>
  <c r="K215" i="2"/>
  <c r="L215" i="2" s="1"/>
  <c r="K216" i="2"/>
  <c r="L216" i="2" s="1"/>
  <c r="K217" i="2"/>
  <c r="L217" i="2" s="1"/>
  <c r="K218" i="2"/>
  <c r="L218" i="2" s="1"/>
  <c r="K219" i="2"/>
  <c r="L219" i="2" s="1"/>
  <c r="K220" i="2"/>
  <c r="L220" i="2" s="1"/>
  <c r="K221" i="2"/>
  <c r="L221" i="2" s="1"/>
  <c r="K222" i="2"/>
  <c r="L222" i="2" s="1"/>
  <c r="K223" i="2"/>
  <c r="L223" i="2" s="1"/>
  <c r="K224" i="2"/>
  <c r="L224" i="2" s="1"/>
  <c r="K225" i="2"/>
  <c r="L225" i="2" s="1"/>
  <c r="K226" i="2"/>
  <c r="L226" i="2" s="1"/>
  <c r="K227" i="2"/>
  <c r="L227" i="2" s="1"/>
  <c r="K228" i="2"/>
  <c r="L228" i="2" s="1"/>
  <c r="K229" i="2"/>
  <c r="L229" i="2" s="1"/>
  <c r="K230" i="2"/>
  <c r="L230" i="2" s="1"/>
  <c r="K231" i="2"/>
  <c r="L231" i="2" s="1"/>
  <c r="K232" i="2"/>
  <c r="L232" i="2" s="1"/>
  <c r="K233" i="2"/>
  <c r="L233" i="2" s="1"/>
  <c r="K234" i="2"/>
  <c r="L234" i="2" s="1"/>
  <c r="K235" i="2"/>
  <c r="L235" i="2" s="1"/>
  <c r="K236" i="2"/>
  <c r="L236" i="2" s="1"/>
  <c r="K237" i="2"/>
  <c r="L237" i="2" s="1"/>
  <c r="K238" i="2"/>
  <c r="L238" i="2" s="1"/>
  <c r="K239" i="2"/>
  <c r="L239" i="2" s="1"/>
  <c r="K240" i="2"/>
  <c r="L240" i="2" s="1"/>
  <c r="K241" i="2"/>
  <c r="L241" i="2" s="1"/>
  <c r="K242" i="2"/>
  <c r="L242" i="2" s="1"/>
  <c r="K243" i="2"/>
  <c r="L243" i="2" s="1"/>
  <c r="K244" i="2"/>
  <c r="L244" i="2" s="1"/>
  <c r="K245" i="2"/>
  <c r="L245" i="2" s="1"/>
  <c r="K246" i="2"/>
  <c r="L246" i="2" s="1"/>
  <c r="K247" i="2"/>
  <c r="L247" i="2" s="1"/>
  <c r="K248" i="2"/>
  <c r="L248" i="2" s="1"/>
  <c r="K249" i="2"/>
  <c r="L249" i="2" s="1"/>
  <c r="K250" i="2"/>
  <c r="L250" i="2" s="1"/>
  <c r="K251" i="2"/>
  <c r="L251" i="2" s="1"/>
  <c r="K252" i="2"/>
  <c r="L252" i="2" s="1"/>
  <c r="K253" i="2"/>
  <c r="L253" i="2" s="1"/>
  <c r="K254" i="2"/>
  <c r="L254" i="2" s="1"/>
  <c r="K255" i="2"/>
  <c r="L255" i="2" s="1"/>
  <c r="K256" i="2"/>
  <c r="L256" i="2" s="1"/>
  <c r="K257" i="2"/>
  <c r="L257" i="2" s="1"/>
  <c r="K258" i="2"/>
  <c r="L258" i="2" s="1"/>
  <c r="K259" i="2"/>
  <c r="L259" i="2" s="1"/>
  <c r="K260" i="2"/>
  <c r="L260" i="2" s="1"/>
  <c r="K261" i="2"/>
  <c r="L261" i="2" s="1"/>
  <c r="K262" i="2"/>
  <c r="L262" i="2" s="1"/>
  <c r="K263" i="2"/>
  <c r="L263" i="2" s="1"/>
  <c r="K264" i="2"/>
  <c r="L264" i="2" s="1"/>
  <c r="K265" i="2"/>
  <c r="L265" i="2" s="1"/>
  <c r="K266" i="2"/>
  <c r="L266" i="2" s="1"/>
  <c r="K267" i="2"/>
  <c r="L267" i="2" s="1"/>
  <c r="K268" i="2"/>
  <c r="L268" i="2" s="1"/>
  <c r="K269" i="2"/>
  <c r="L269" i="2" s="1"/>
  <c r="K270" i="2"/>
  <c r="L270" i="2" s="1"/>
  <c r="L271" i="2"/>
  <c r="J17" i="2" l="1"/>
  <c r="L5" i="2" l="1"/>
  <c r="K10" i="2"/>
  <c r="L10" i="2" s="1"/>
  <c r="K11" i="2"/>
  <c r="L11" i="2" s="1"/>
  <c r="K4" i="2"/>
  <c r="L4" i="2" s="1"/>
  <c r="K2" i="2"/>
  <c r="L2" i="2" s="1"/>
  <c r="K6" i="2"/>
  <c r="L6" i="2" s="1"/>
  <c r="K129" i="2" l="1"/>
  <c r="L129" i="2" s="1"/>
  <c r="J57" i="2"/>
  <c r="K143" i="2"/>
  <c r="L143" i="2" s="1"/>
  <c r="K139" i="2"/>
  <c r="L139" i="2" s="1"/>
  <c r="K141" i="2"/>
  <c r="L141" i="2" s="1"/>
  <c r="K140" i="2"/>
  <c r="L140" i="2" s="1"/>
  <c r="K197" i="2"/>
  <c r="L197" i="2" s="1"/>
  <c r="K196" i="2"/>
  <c r="L196" i="2" s="1"/>
  <c r="K195" i="2"/>
  <c r="L195" i="2" s="1"/>
  <c r="K194" i="2"/>
  <c r="L194" i="2" s="1"/>
  <c r="K193" i="2"/>
  <c r="L193" i="2" s="1"/>
  <c r="K192" i="2"/>
  <c r="L192" i="2" s="1"/>
  <c r="K191" i="2"/>
  <c r="L191" i="2" s="1"/>
  <c r="K190" i="2"/>
  <c r="L190" i="2" s="1"/>
  <c r="K189" i="2"/>
  <c r="L189" i="2" s="1"/>
  <c r="K188" i="2"/>
  <c r="L188" i="2" s="1"/>
  <c r="K187" i="2"/>
  <c r="L187" i="2" s="1"/>
  <c r="K186" i="2"/>
  <c r="L186" i="2" s="1"/>
  <c r="K185" i="2"/>
  <c r="L185" i="2" s="1"/>
  <c r="K184" i="2"/>
  <c r="L184" i="2" s="1"/>
  <c r="K183" i="2"/>
  <c r="L183" i="2" s="1"/>
  <c r="K182" i="2"/>
  <c r="L182" i="2" s="1"/>
  <c r="K181" i="2"/>
  <c r="L181" i="2" s="1"/>
  <c r="K180" i="2"/>
  <c r="L180" i="2" s="1"/>
  <c r="K179" i="2"/>
  <c r="L179" i="2" s="1"/>
  <c r="K178" i="2"/>
  <c r="L178" i="2" s="1"/>
  <c r="K177" i="2"/>
  <c r="L177" i="2" s="1"/>
  <c r="K176" i="2"/>
  <c r="L176" i="2" s="1"/>
  <c r="K175" i="2"/>
  <c r="L175" i="2" s="1"/>
  <c r="K174" i="2"/>
  <c r="L174" i="2" s="1"/>
  <c r="K173" i="2"/>
  <c r="L173" i="2" s="1"/>
  <c r="K172" i="2"/>
  <c r="L172" i="2" s="1"/>
  <c r="K171" i="2"/>
  <c r="L171" i="2" s="1"/>
  <c r="K170" i="2"/>
  <c r="L170" i="2" s="1"/>
  <c r="K169" i="2"/>
  <c r="L169" i="2" s="1"/>
  <c r="K168" i="2"/>
  <c r="L168" i="2" s="1"/>
  <c r="K167" i="2"/>
  <c r="L167" i="2" s="1"/>
  <c r="K166" i="2"/>
  <c r="L166" i="2" s="1"/>
  <c r="K165" i="2"/>
  <c r="L165" i="2" s="1"/>
  <c r="K164" i="2"/>
  <c r="L164" i="2" s="1"/>
  <c r="K163" i="2"/>
  <c r="L163" i="2" s="1"/>
  <c r="K162" i="2"/>
  <c r="L162" i="2" s="1"/>
  <c r="K161" i="2"/>
  <c r="L161" i="2" s="1"/>
  <c r="K160" i="2"/>
  <c r="L160" i="2" s="1"/>
  <c r="K159" i="2"/>
  <c r="L159" i="2" s="1"/>
  <c r="K158" i="2"/>
  <c r="L158" i="2" s="1"/>
  <c r="K157" i="2"/>
  <c r="L157" i="2" s="1"/>
  <c r="K156" i="2"/>
  <c r="L156" i="2" s="1"/>
  <c r="K155" i="2"/>
  <c r="L155" i="2" s="1"/>
  <c r="K154" i="2"/>
  <c r="L154" i="2" s="1"/>
  <c r="K153" i="2"/>
  <c r="L153" i="2" s="1"/>
  <c r="K152" i="2"/>
  <c r="L152" i="2" s="1"/>
  <c r="K151" i="2"/>
  <c r="L151" i="2" s="1"/>
  <c r="K150" i="2"/>
  <c r="L150" i="2" s="1"/>
  <c r="K149" i="2"/>
  <c r="L149" i="2" s="1"/>
  <c r="K148" i="2"/>
  <c r="L148" i="2" s="1"/>
  <c r="K147" i="2"/>
  <c r="L147" i="2" s="1"/>
  <c r="K146" i="2"/>
  <c r="L146" i="2" s="1"/>
  <c r="K145" i="2"/>
  <c r="L145" i="2" s="1"/>
  <c r="K144" i="2"/>
  <c r="L144" i="2" s="1"/>
  <c r="K142" i="2"/>
  <c r="L142" i="2" s="1"/>
  <c r="K138" i="2" l="1"/>
  <c r="L138" i="2" s="1"/>
  <c r="K137" i="2"/>
  <c r="L137" i="2" s="1"/>
  <c r="K136" i="2"/>
  <c r="L136" i="2" s="1"/>
  <c r="K135" i="2"/>
  <c r="L135" i="2" s="1"/>
  <c r="K134" i="2"/>
  <c r="L134" i="2" s="1"/>
  <c r="K133" i="2"/>
  <c r="L133" i="2" s="1"/>
  <c r="K128" i="2"/>
  <c r="L128" i="2" s="1"/>
  <c r="K130" i="2"/>
  <c r="L130" i="2" s="1"/>
  <c r="K131" i="2"/>
  <c r="L131" i="2" s="1"/>
  <c r="K132" i="2"/>
  <c r="L132" i="2" s="1"/>
  <c r="K127" i="2"/>
  <c r="L127" i="2" s="1"/>
  <c r="K124" i="2" l="1"/>
  <c r="L124" i="2" s="1"/>
  <c r="K123" i="2"/>
  <c r="L123" i="2" s="1"/>
  <c r="J97" i="2"/>
  <c r="J95" i="2"/>
  <c r="J85" i="2"/>
  <c r="J81" i="2"/>
  <c r="J80" i="2"/>
  <c r="J78" i="2"/>
  <c r="J77" i="2"/>
  <c r="J76" i="2"/>
  <c r="J75" i="2"/>
  <c r="J69" i="2"/>
  <c r="J68" i="2"/>
  <c r="J67" i="2"/>
  <c r="J65" i="2"/>
  <c r="J63" i="2"/>
  <c r="J62" i="2"/>
  <c r="J60" i="2"/>
  <c r="J54" i="2"/>
  <c r="J53" i="2"/>
  <c r="J52" i="2"/>
  <c r="J49" i="2"/>
  <c r="J46" i="2"/>
  <c r="J45" i="2"/>
  <c r="J44" i="2"/>
  <c r="J39" i="2"/>
  <c r="J37" i="2"/>
  <c r="J36" i="2"/>
  <c r="J31" i="2"/>
  <c r="J28" i="2"/>
  <c r="J26" i="2"/>
  <c r="J25" i="2"/>
  <c r="K72" i="2"/>
  <c r="J50" i="2" l="1"/>
  <c r="J41" i="2"/>
  <c r="J40" i="2"/>
  <c r="K9" i="2"/>
  <c r="L9" i="2" s="1"/>
  <c r="J61" i="2" l="1"/>
  <c r="J59" i="2"/>
  <c r="J47" i="2"/>
  <c r="J34" i="2"/>
  <c r="J32" i="2"/>
  <c r="J29" i="2"/>
  <c r="J27" i="2"/>
  <c r="J24" i="2"/>
  <c r="K24" i="2" s="1"/>
  <c r="J23" i="2"/>
  <c r="K19" i="2"/>
  <c r="J22" i="2"/>
  <c r="J21" i="2"/>
  <c r="J18" i="2"/>
  <c r="J13" i="2"/>
  <c r="L8" i="2" l="1"/>
  <c r="J12" i="2" l="1"/>
  <c r="K12" i="2" s="1"/>
  <c r="L12" i="2" s="1"/>
  <c r="K84" i="2"/>
  <c r="L84" i="2" s="1"/>
  <c r="K85" i="2"/>
  <c r="L85" i="2" s="1"/>
  <c r="K86" i="2"/>
  <c r="L86" i="2" s="1"/>
  <c r="K87" i="2"/>
  <c r="L87" i="2" s="1"/>
  <c r="K88" i="2"/>
  <c r="L88" i="2" s="1"/>
  <c r="K89" i="2"/>
  <c r="L89" i="2" s="1"/>
  <c r="K90" i="2"/>
  <c r="L90" i="2" s="1"/>
  <c r="K91" i="2"/>
  <c r="L91" i="2" s="1"/>
  <c r="K92" i="2"/>
  <c r="L92" i="2" s="1"/>
  <c r="K93" i="2"/>
  <c r="L93" i="2" s="1"/>
  <c r="K94" i="2"/>
  <c r="L94" i="2" s="1"/>
  <c r="K95" i="2"/>
  <c r="L95" i="2" s="1"/>
  <c r="K96" i="2"/>
  <c r="L96" i="2" s="1"/>
  <c r="K97" i="2"/>
  <c r="L97" i="2" s="1"/>
  <c r="K98" i="2"/>
  <c r="L98" i="2" s="1"/>
  <c r="K99" i="2"/>
  <c r="L99" i="2" s="1"/>
  <c r="K100" i="2"/>
  <c r="L100" i="2" s="1"/>
  <c r="K101" i="2"/>
  <c r="L101" i="2" s="1"/>
  <c r="K102" i="2"/>
  <c r="L102" i="2" s="1"/>
  <c r="K103" i="2"/>
  <c r="L103" i="2" s="1"/>
  <c r="L104" i="2"/>
  <c r="K105" i="2"/>
  <c r="L105" i="2" s="1"/>
  <c r="K106" i="2"/>
  <c r="L106" i="2" s="1"/>
  <c r="K107" i="2"/>
  <c r="L107" i="2" s="1"/>
  <c r="K108" i="2"/>
  <c r="L108" i="2" s="1"/>
  <c r="K109" i="2"/>
  <c r="L109" i="2" s="1"/>
  <c r="K110" i="2"/>
  <c r="L110" i="2" s="1"/>
  <c r="K111" i="2"/>
  <c r="L111" i="2" s="1"/>
  <c r="K112" i="2"/>
  <c r="L112" i="2" s="1"/>
  <c r="K113" i="2"/>
  <c r="L113" i="2" s="1"/>
  <c r="K114" i="2"/>
  <c r="L114" i="2" s="1"/>
  <c r="K115" i="2"/>
  <c r="L115" i="2" s="1"/>
  <c r="K116" i="2"/>
  <c r="L116" i="2" s="1"/>
  <c r="K117" i="2"/>
  <c r="L117" i="2" s="1"/>
  <c r="K118" i="2"/>
  <c r="L118" i="2" s="1"/>
  <c r="K119" i="2"/>
  <c r="L119" i="2" s="1"/>
  <c r="K120" i="2"/>
  <c r="L120" i="2" s="1"/>
  <c r="K121" i="2"/>
  <c r="L121" i="2" s="1"/>
  <c r="K122" i="2"/>
  <c r="L122" i="2" s="1"/>
  <c r="K125" i="2"/>
  <c r="L125" i="2" s="1"/>
  <c r="K126" i="2"/>
  <c r="L126" i="2" s="1"/>
  <c r="K66" i="2"/>
  <c r="L66" i="2" s="1"/>
  <c r="L24" i="2" l="1"/>
  <c r="K25" i="2"/>
  <c r="L25" i="2" s="1"/>
  <c r="K26" i="2"/>
  <c r="L26" i="2" s="1"/>
  <c r="K27" i="2"/>
  <c r="L27" i="2" s="1"/>
  <c r="K28" i="2"/>
  <c r="L28" i="2" s="1"/>
  <c r="K29" i="2"/>
  <c r="L29" i="2" s="1"/>
  <c r="K30" i="2"/>
  <c r="L30" i="2" s="1"/>
  <c r="K31" i="2"/>
  <c r="L31" i="2" s="1"/>
  <c r="K32" i="2"/>
  <c r="L32" i="2" s="1"/>
  <c r="K33" i="2"/>
  <c r="L33" i="2" s="1"/>
  <c r="K34" i="2"/>
  <c r="L34" i="2" s="1"/>
  <c r="K35" i="2"/>
  <c r="L35" i="2" s="1"/>
  <c r="K36" i="2"/>
  <c r="L36" i="2" s="1"/>
  <c r="K37" i="2"/>
  <c r="L37" i="2" s="1"/>
  <c r="K38" i="2"/>
  <c r="L38" i="2" s="1"/>
  <c r="K39" i="2"/>
  <c r="L39" i="2" s="1"/>
  <c r="K40" i="2"/>
  <c r="L40" i="2" s="1"/>
  <c r="K41" i="2"/>
  <c r="L41" i="2" s="1"/>
  <c r="K42" i="2"/>
  <c r="L42" i="2" s="1"/>
  <c r="K43" i="2"/>
  <c r="L43" i="2" s="1"/>
  <c r="K44" i="2"/>
  <c r="L44" i="2" s="1"/>
  <c r="K45" i="2"/>
  <c r="L45" i="2" s="1"/>
  <c r="K46" i="2"/>
  <c r="L46" i="2" s="1"/>
  <c r="K48" i="2"/>
  <c r="L48" i="2" s="1"/>
  <c r="K49" i="2"/>
  <c r="L49" i="2" s="1"/>
  <c r="K50" i="2"/>
  <c r="L50" i="2"/>
  <c r="K51" i="2"/>
  <c r="L51" i="2" s="1"/>
  <c r="K52" i="2"/>
  <c r="L52" i="2" s="1"/>
  <c r="K53" i="2"/>
  <c r="L53" i="2" s="1"/>
  <c r="K54" i="2"/>
  <c r="L54" i="2" s="1"/>
  <c r="K55" i="2"/>
  <c r="L55" i="2" s="1"/>
  <c r="K56" i="2"/>
  <c r="L56" i="2" s="1"/>
  <c r="K57" i="2"/>
  <c r="L57" i="2" s="1"/>
  <c r="K58" i="2"/>
  <c r="L58" i="2" s="1"/>
  <c r="K59" i="2"/>
  <c r="L59" i="2" s="1"/>
  <c r="K60" i="2"/>
  <c r="L60" i="2" s="1"/>
  <c r="K61" i="2"/>
  <c r="L61" i="2" s="1"/>
  <c r="K62" i="2"/>
  <c r="L62" i="2" s="1"/>
  <c r="K63" i="2"/>
  <c r="L63" i="2" s="1"/>
  <c r="K64" i="2"/>
  <c r="L64" i="2" s="1"/>
  <c r="K65" i="2"/>
  <c r="L65" i="2" s="1"/>
  <c r="K67" i="2"/>
  <c r="L67" i="2" s="1"/>
  <c r="K68" i="2"/>
  <c r="L68" i="2" s="1"/>
  <c r="K69" i="2"/>
  <c r="L69" i="2" s="1"/>
  <c r="K70" i="2"/>
  <c r="L70" i="2" s="1"/>
  <c r="K71" i="2"/>
  <c r="L71" i="2" s="1"/>
  <c r="L72" i="2"/>
  <c r="K73" i="2"/>
  <c r="L73" i="2" s="1"/>
  <c r="K74" i="2"/>
  <c r="L74" i="2" s="1"/>
  <c r="K75" i="2"/>
  <c r="L75" i="2" s="1"/>
  <c r="K76" i="2"/>
  <c r="L76" i="2" s="1"/>
  <c r="K77" i="2"/>
  <c r="L77" i="2" s="1"/>
  <c r="K78" i="2"/>
  <c r="L78" i="2" s="1"/>
  <c r="K79" i="2"/>
  <c r="L79" i="2" s="1"/>
  <c r="K80" i="2"/>
  <c r="L80" i="2" s="1"/>
  <c r="K81" i="2"/>
  <c r="L81" i="2" s="1"/>
  <c r="K82" i="2"/>
  <c r="L82" i="2" s="1"/>
  <c r="K83" i="2"/>
  <c r="L83" i="2" s="1"/>
  <c r="K20" i="2"/>
  <c r="L20" i="2" s="1"/>
  <c r="K14" i="2"/>
  <c r="L14" i="2" s="1"/>
  <c r="K15" i="2"/>
  <c r="L15" i="2" s="1"/>
  <c r="K16" i="2"/>
  <c r="L16" i="2" s="1"/>
  <c r="K17" i="2"/>
  <c r="L17" i="2" s="1"/>
  <c r="K18" i="2"/>
  <c r="L18" i="2" s="1"/>
  <c r="L19" i="2"/>
  <c r="K21" i="2"/>
  <c r="L21" i="2" s="1"/>
  <c r="K22" i="2"/>
  <c r="L22" i="2" s="1"/>
  <c r="K13" i="2"/>
  <c r="L13" i="2" s="1"/>
  <c r="K23" i="2"/>
  <c r="L23" i="2" s="1"/>
  <c r="K47" i="2"/>
  <c r="L47" i="2" s="1"/>
</calcChain>
</file>

<file path=xl/sharedStrings.xml><?xml version="1.0" encoding="utf-8"?>
<sst xmlns="http://schemas.openxmlformats.org/spreadsheetml/2006/main" count="843" uniqueCount="805">
  <si>
    <t>OBJETO DEL CONTRATO</t>
  </si>
  <si>
    <t xml:space="preserve">No. DE
CONTRATO </t>
  </si>
  <si>
    <t>FECHA DE INICIO</t>
  </si>
  <si>
    <t>FECHA
TERMINACIÓN</t>
  </si>
  <si>
    <t>VALOR DELCONTRATO</t>
  </si>
  <si>
    <t>RECURSOS DESEMBOLSADOS PAGADOS</t>
  </si>
  <si>
    <t>DANIEL ESTEBAN RUANO RUIZ</t>
  </si>
  <si>
    <t>NOMBRE CONTRATISTA</t>
  </si>
  <si>
    <t>CEDULA - NIT</t>
  </si>
  <si>
    <t>RECURSOS PENDIENTES POR EJECUTAR</t>
  </si>
  <si>
    <t xml:space="preserve">CANTIDAD DE OTROSIES Y ADICIONES </t>
  </si>
  <si>
    <t>MONTO TOTAL DE LAS ADICIONES</t>
  </si>
  <si>
    <t>OBJERVACIONES</t>
  </si>
  <si>
    <t>DÍGITO DE VERIFICACÍON</t>
  </si>
  <si>
    <t>Honorario</t>
  </si>
  <si>
    <t>JESUS DAVID RAMIREZ MERCADO</t>
  </si>
  <si>
    <t>HARRISON AMÉZQUITA GAMA</t>
  </si>
  <si>
    <t>LISETTE DAYHANNA ACOSTA MANCILLA</t>
  </si>
  <si>
    <t>YOMAIRA GOMEZ GARNICA</t>
  </si>
  <si>
    <t>GLORIA JOSEFINA CELIS JUTINICO</t>
  </si>
  <si>
    <t>EMILCE CANO GOMEZ</t>
  </si>
  <si>
    <t>DIANA SUSANA YUSTES DIAZ</t>
  </si>
  <si>
    <t>YEIMY LORENA DUQUINO CHAPARRO</t>
  </si>
  <si>
    <t>NESTOR HUGO MARTINEZ ACOSTA</t>
  </si>
  <si>
    <t>PRESTAR SERVICIOS PROFESIONALES PARA APOYAR LOS TRÁMITES RELACIONADOS CON LOS PROCESOS PRECONTRACTUALES CONTRACTUALES, POSTCONTRACTUALES Y DE TIENDA VIRTUAL EN EL GRUPO DE GESTIÓN CONTRACTUAL DE LA SSF. (ID: GGC-029).</t>
  </si>
  <si>
    <t>PRESTAR SERVICIOS PROFESIONALES ESPECIALIZADOS PARA REALIZAR ACOMPAÑAMIENTO EN EL ANÁLISIS, CONCEPTO, Y REVISIÓN DE LAS ACTIVIDADES QUE LE CORRESPONDAN AL GRUPO GESTIÓN CONTRACTUAL DE LA SECRETARÍA GENERAL DE LA SUPERINTENDENCIA DE SUBSIDIO FAMILIAR. (ID: GGC-038)</t>
  </si>
  <si>
    <t>PRESTAR SERVICIOS PROFESIONALES PARA APOYAR LOS TRÁMITES RELACIONADOS CON LOS PROCESOS PRECONTRACTUALES CONTRACTUALES, POSTCONTRACTUALES Y DE TIENDA VIRTUAL EN EL GRUPO DE GESTIÓN CONTRACTUAL DE LA SSF. (ID: GGC-030)</t>
  </si>
  <si>
    <t>PRESTAR SERVICIOS PROFESIONALES ESPECIALIZADOS PARA ACOMPAÑAR EL SEGUIMIENTO DE LOS PLANES DE MEJORAMIENTO, HALLAZGOS, INFORMES, OBSERVACIONES DE AUDITORÍAS INTERNAS Y EXTERNAS, ACCIONES PREVENTIVAS CORRECTIVAS PROPIAS DE LA DE LA SECRETARIA GENERAL. (ID: SG-085).</t>
  </si>
  <si>
    <t>PRESTAR LOS SERVICIOS PROFESIONALES ESPECIALIZADOS AL GGF CON EL FIN DE ACOMPAÑAR, ORIENTAR Y APOYAR TODO EL PROCESO FINANCIERO, ASÍ COMO ATENDER TODOS LOS REQUERIMIENTOS E INFORMES INTERNOS Y EXTERNAS QUE DEBA CONTESTAR EL ÁREA. (ID: GGF-132).</t>
  </si>
  <si>
    <t>PRESTAR LOS SERVICIOS PROFESIONALES ESPECIALIZADOS PARA APOYAR AL GGF, DE MANERA TRANSVERSAL E INTEGRAL BRINDANDO ACOMPAÑAMIENTO CON EL SOPORTE Y ORIENTACIÓN A TODOS LOS PROCESOS DONDE SE REQUIERA. (ID: GGF-129)</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</si>
  <si>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SDRAME-050)</t>
  </si>
  <si>
    <t>PRESTAR LOS SERVICIOS PROFESIONALES BRINDANDO APOYO EN TEMAS RELACIONADOS CON LOS TRÁMITES INTERNOS DEL GGF, DESARROLLANDO OPERACIONES CONTABLES, PRESUPUESTALES Y DE PAGADURÍA, ACOGIÉNDOSE A LOS PROCEDIMIENTOS Y OBJETIVOS INSTITUCIONALES DE LA SSF. (ID: GGF-130)</t>
  </si>
  <si>
    <t>PRESTAR LOS SERVICIOS PROFESIONALES ESPECIALIZADOS EN EL ACOMPAÑAMIENTO DE LAS ACTIVIDADES PRESUPUESTALES, CONTABLES Y TRIBUTARIAS, REFLEJANDO EL REGISTRO DE LAS OPERACIONES EN EL SISTEMA FINANCIERO SIIF NACIÓN, DE CONFORMIDAD CON LOS PROCEDIMIENTOS ESTABLECIDOS EN LA SSF. (ID: GGF-131)</t>
  </si>
  <si>
    <t>001-2025</t>
  </si>
  <si>
    <t>002-2025</t>
  </si>
  <si>
    <t>003-2025</t>
  </si>
  <si>
    <t>004-2025</t>
  </si>
  <si>
    <t>005-2025</t>
  </si>
  <si>
    <t>006-2025</t>
  </si>
  <si>
    <t>007-2025</t>
  </si>
  <si>
    <t>009-2025</t>
  </si>
  <si>
    <t>010-2025</t>
  </si>
  <si>
    <t>IMPRENTA NACIONAL DE COLOMBIA</t>
  </si>
  <si>
    <t>REALIZAR LA PUBLICACIÓN DE LOS ACTOS ADMINISTRATIVOS Y DOCUMENTOS EXPEDIDOS POR LA SUPERINTENDENCIA DEL SUBSIDIO FAMILIAR QUE REQUIERAN DIVULGACIÓN EN EL DIARIO OFICIAL. (ID: GGD-022).</t>
  </si>
  <si>
    <t>008-2025</t>
  </si>
  <si>
    <t>011-2025</t>
  </si>
  <si>
    <t>012-2025</t>
  </si>
  <si>
    <t>013-2025</t>
  </si>
  <si>
    <t>014-2025</t>
  </si>
  <si>
    <t>015-2025</t>
  </si>
  <si>
    <t>016-2025</t>
  </si>
  <si>
    <t>018-2025</t>
  </si>
  <si>
    <t>019-2025</t>
  </si>
  <si>
    <t>020-2025</t>
  </si>
  <si>
    <t>021-2025</t>
  </si>
  <si>
    <t>022-2025</t>
  </si>
  <si>
    <t>023-2025</t>
  </si>
  <si>
    <t>024-2025</t>
  </si>
  <si>
    <t>025-2025</t>
  </si>
  <si>
    <t>026-2025</t>
  </si>
  <si>
    <t>027-2025</t>
  </si>
  <si>
    <t>028-2025</t>
  </si>
  <si>
    <t>029-2025</t>
  </si>
  <si>
    <t>030-2025</t>
  </si>
  <si>
    <t>031-2025</t>
  </si>
  <si>
    <t>032-2025</t>
  </si>
  <si>
    <t>033-2025</t>
  </si>
  <si>
    <t>034-2025</t>
  </si>
  <si>
    <t>036-2025</t>
  </si>
  <si>
    <t>037-2025</t>
  </si>
  <si>
    <t>038-2025</t>
  </si>
  <si>
    <t>039-2025</t>
  </si>
  <si>
    <t>040-2025</t>
  </si>
  <si>
    <t>041-2025</t>
  </si>
  <si>
    <t>042-2025</t>
  </si>
  <si>
    <t>043-2025</t>
  </si>
  <si>
    <t>044-2025</t>
  </si>
  <si>
    <t>045-2025</t>
  </si>
  <si>
    <t>046-2025</t>
  </si>
  <si>
    <t>047-2025</t>
  </si>
  <si>
    <t>049-2025</t>
  </si>
  <si>
    <t>050-2025</t>
  </si>
  <si>
    <t>051-2025</t>
  </si>
  <si>
    <t>052-2025</t>
  </si>
  <si>
    <t>053-2025</t>
  </si>
  <si>
    <t>054-2025</t>
  </si>
  <si>
    <t>055-2025</t>
  </si>
  <si>
    <t>056-2025</t>
  </si>
  <si>
    <t>059-2025</t>
  </si>
  <si>
    <t>060-2025</t>
  </si>
  <si>
    <t>061-2025</t>
  </si>
  <si>
    <t>062-2025</t>
  </si>
  <si>
    <t>063-2025</t>
  </si>
  <si>
    <t>064-2025</t>
  </si>
  <si>
    <t>065-2025</t>
  </si>
  <si>
    <t>066-2025</t>
  </si>
  <si>
    <t>067-2025</t>
  </si>
  <si>
    <t>068-2025</t>
  </si>
  <si>
    <t>069-2025</t>
  </si>
  <si>
    <t>070-2025</t>
  </si>
  <si>
    <t>071-2025</t>
  </si>
  <si>
    <t>072-2025</t>
  </si>
  <si>
    <t>073-2025</t>
  </si>
  <si>
    <t>074-2025</t>
  </si>
  <si>
    <t>075-2025</t>
  </si>
  <si>
    <t>BLANCA LUCIA SANCHEZ TORRES</t>
  </si>
  <si>
    <t>ANGELA MARIA ORTIZ VILLALBA</t>
  </si>
  <si>
    <t>OLGA LUCIA AVILA MARTINEZ</t>
  </si>
  <si>
    <t>MARIA TERESA VALVERDE RIVERA</t>
  </si>
  <si>
    <t>SANDRA MIREYA HINCAPIE JIMENEZ</t>
  </si>
  <si>
    <t>ALIX MARIA GOMEZ CANTILLO</t>
  </si>
  <si>
    <t>DIEGO ARMANDO RODRIGUEZ RODRIGUEZ</t>
  </si>
  <si>
    <t>NINI JOHANNA MENDOZA ROJAS</t>
  </si>
  <si>
    <t>BRAYAN SEBASTIAN CUERVO LANCHEROS</t>
  </si>
  <si>
    <t>GENNY MILENA PINZON RABELO</t>
  </si>
  <si>
    <t>DAIRO DE JESÚS AYALA MUÑOZ</t>
  </si>
  <si>
    <t>EDINSON FABIAN CASTRO BECERRA</t>
  </si>
  <si>
    <t>DANIEL QUINTERO RODRIGUEZ</t>
  </si>
  <si>
    <t>MIGUEL ANDERSON PUENTES MONTENEGRO</t>
  </si>
  <si>
    <t>NATHALIA ANDREA PINEDA CAMELO</t>
  </si>
  <si>
    <t>JORGE ELIECER AMAYA RAMIREZ</t>
  </si>
  <si>
    <t>DAVID QUINTERO RODRIGUEZ</t>
  </si>
  <si>
    <t>FANNY QUINTERO PARRA</t>
  </si>
  <si>
    <t>MARIA CRISTINA VILLAR NOVA</t>
  </si>
  <si>
    <t>CINDY JHOANNA CONTRERAS GONZALEZ</t>
  </si>
  <si>
    <t>SERGIO ADOLFO CARREÑO CASTILLO</t>
  </si>
  <si>
    <t>ANGELA MILENA GUTIERREZ PATIÑO</t>
  </si>
  <si>
    <t>JOHNNY ABAD MARTINEZ FONTALVO</t>
  </si>
  <si>
    <t>DIANA DEL PILAR ROMERO ÁVILA</t>
  </si>
  <si>
    <t>HÉCTOR JOSÉ MATAMOROS RODRÍGUEZ</t>
  </si>
  <si>
    <t>SILVIA CAMARO VELASCO</t>
  </si>
  <si>
    <t>PAULA ANDREA MORENO IBARRA</t>
  </si>
  <si>
    <t>HUGO FERNANDO AMAYA MURCIA</t>
  </si>
  <si>
    <t>OLBER FERNEY DELGADO LOZANO</t>
  </si>
  <si>
    <t>CINDY JOHANA CASTRO PRIETO</t>
  </si>
  <si>
    <t>WILMER HARVEY FERNANDEZ PEÑA</t>
  </si>
  <si>
    <t>FABIÁN ANDRÁS ACOSTA DIAZ</t>
  </si>
  <si>
    <t>JORGE NICOLÁS OLAYA MESA</t>
  </si>
  <si>
    <t>YENY CAROLINA MARTINEZ PULIDO</t>
  </si>
  <si>
    <t>RODRIGO BARRERO MUÑOZ</t>
  </si>
  <si>
    <t>KIMBERLY LORENA PINZÓN RODRÍGUEZ</t>
  </si>
  <si>
    <t>LILIANA ACOSTA ALMEIDA</t>
  </si>
  <si>
    <t>JORGE ROBERTO MORA LÓPEZ</t>
  </si>
  <si>
    <t>CÉSAR AUGUSTO QUIJANO HERNÁNDEZ</t>
  </si>
  <si>
    <t>REINEL FERNANDO PUENTES MORENO</t>
  </si>
  <si>
    <t>JUAN SEBASTIÁN FIGUEROA GONZÁLEZ</t>
  </si>
  <si>
    <t>MIGUEL ÁNGEL GUACAS SILVESTRE</t>
  </si>
  <si>
    <t>NOHRA LUCÍA FORERO CÉSPEDES</t>
  </si>
  <si>
    <t>CARLOS MANUEL ROMERO ROJAS</t>
  </si>
  <si>
    <t>DÍDIER SNEIDER CUERVO GÓMEZ</t>
  </si>
  <si>
    <t>DAVID ANDRÉS ACERO MORENO</t>
  </si>
  <si>
    <t>MILTON AUGUSTO PUENTES VEGA</t>
  </si>
  <si>
    <t>CÉSAR DANILO TORRALBA URREA</t>
  </si>
  <si>
    <t>YURI ZAMAR SEPÚLVEDA YARURO</t>
  </si>
  <si>
    <t>ANABEL JULIO ACEVEDO</t>
  </si>
  <si>
    <t>SANDRA PATRICIA NOCUA PARRA</t>
  </si>
  <si>
    <t>KAREN YULIETH BOHORQUEZ NIETO</t>
  </si>
  <si>
    <t>VERÓNICA DURANA ÁNGEL</t>
  </si>
  <si>
    <t>FREDY YARNEY ROMERO MORENO</t>
  </si>
  <si>
    <t>YISEL PATRICIA BARRIOS AHUMADA</t>
  </si>
  <si>
    <t>DIEGO ANDRÉS MUNAR BACA</t>
  </si>
  <si>
    <t>CARLOS ARTURO SILVA TAPIAS</t>
  </si>
  <si>
    <t>MANUEL FERNANDO RIVERA PINEDA</t>
  </si>
  <si>
    <t>HELDER ALEXIS PINEDA MUÑOZ</t>
  </si>
  <si>
    <t>PRESTACIÓN DE SERVICIOS PROFESIONALES PARA BRINDAR ACOMPAÑAMIENTO METODOLÓGICO EN LA FORMULACIÓN Y SEGUIMIENTO A LOS PROYECTOS DE INVERSIÓN DE LA SUPERINTENDENCIA DEL SUBSIDIO FAMILIAR. (ID: OAP-087).</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</si>
  <si>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t>
  </si>
  <si>
    <t>PRESTAR SERVICIOS PROFESIONALES PARA REALIZAR ACTIVIDADES RELACIONADAS CON LA REVISIÓN Y SUSTANCIACIÓN Y DEMÁS ACTUACIONES JURÍDICAS QUE SE REQUIERAN EN EL MARCO DEL PROCESO DE CONTROL LEGAL Y VIGILANCIA A CAJAS DE COMPENSACIÓN FAMILIAR, EN EL MARCO DEL PROYECTO "MODERNIZACIÓN DE LA INSPECCIÓN, VIGILANCIA Y CONTROL DE LA SUPERINTENDENCIA DEL SUBSIDIO FAMILIAR. (ID: SDRAME-055)</t>
  </si>
  <si>
    <t>PRESTAR DE SERVICIOS PROFESIONALES A LA OFICINA ASESORA DE PLANEACIÓN PARA BRINDAR ORIENTACIÓN EN LA FORMULACIÓN DEL ANTEPROYECTO DE PRESUPUESTO Y MGMP, ASÍ COMO PARA EFECTUAR LA FORMULACIÓN Y SEGUIMIENTO DE LOS PROYECTOS BPIN DE LA SUPERINTENDENCIA DEL SUBSIDIO FAMILIAR. (ID OAP-088).</t>
  </si>
  <si>
    <t>PRESTAR SERVICIOS PROFESIONALES PARA REALIZAR EL ACOMPAÑAMIENTO DE ACTIVIDADES RELACIONADAS CON EL MANEJO DEL SIIF NACIÓN, ANÁLISIS CONTABLES Y FINANCIEROS DEL GRUPO DE GESTIÓN ADMINISTRATIVA DE LA SECRETARIA GENERAL DE LA SUPERINTENDENCIA DEL SUBSIDIO FAMILIAR. (ID: GGA-016)</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</si>
  <si>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t>
  </si>
  <si>
    <t>PRESTAR SERVICIOS PROFESIONALES PARA EL ACOMPAÑAMIENTO JURÍDICO AL GRUPO DE GESTIÓN CONTRACTUAL EN LOS PROCESOS DE CONTRATACIÓN QUE SE ADELANTEN. (ID: GGC-036).</t>
  </si>
  <si>
    <t>PRESTAR SERVICIOS PROFESIONALES PARA EL ACOMPAÑAMIENTO JURÍDICO AL GRUPO DE GESTIÓN CONTRACTUAL EN LOS PROCESOS DE CONTRATACIÓN QUE SE ADELANTEN. (ID: GGC-031).</t>
  </si>
  <si>
    <t>PRESTAR SERVICIOS DE APOYO A LA GESTIÓN PARA LA ATENCIÓN DE INCIDENTES Y EVENTOS DEL SISTEMA DE INFORMACIÓN SIMON DE LA SUPERINTENDENCIA DEL SUBSIDIO FAMILIAR. (ID: OTIC-193).</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</si>
  <si>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t>
  </si>
  <si>
    <t>PRESTAR SERVICIOS PROFESIONALES PARA BRINDAR ACOMPAÑAMIENTO EN LA GESTIÓN DE LA PLATAFORMA DE GESTIÓN INSTITUCIONAL Y DESARROLLO DE AUTOMATIZACIONES DE PROCESOS DE LA SUPERINTENDENCIA DEL SUBSIDIO FAMILIAR, CON ID: OTIC-190.</t>
  </si>
  <si>
    <t>PRESTAR SERVICIOS DE APOYO A LA GESTIÓN AL GRUPO DE GESTIÓN CONTRACTUAL EN EL DESARROLLO DE ACTIVIDADES OPERATIVAS Y ADMINISTRATIVAS DE ACUERDO A LAS NECESIDADES DEL ÁREA. (ID: GGC-033).</t>
  </si>
  <si>
    <t>PRESTAR SERVICIOS PROFESIONALES JURÍDICOS PARA ADELANTAR ACTIVIDADES Y TRÁMITES A CARGO DE LA DELEGADA PARA LA RESPONSABILIDAD ADMINISTRATIVA Y LAS MEDIDAS ESPECIALES EN RELACIÓN CON SU FUNCIÓN DE VIGILANCIA, EN EL MARCO DEL PROYECTO "MODERNIZACIÓN DE LA INSPECCIÓN, VIGILANCIA Y CONTROL DE LA SUPERINTENDENCIA DEL SUBSIDIO FAMILIAR". (ID: SDRAME-079).</t>
  </si>
  <si>
    <t>PRESTAR SERVICIOS PROFESIONALES PARA APOYAR LA ESTRUCTURACIÓN Y SEGUIMIENTO DE PROCESOS DE TECNOLOGÍAS DE LA INFORMACIÓN Y LAS COMUNICACIONES DE LA SUPERINTENDENCIA DEL SUBSIDIO FAMILIAR. (ID OTIC-201).</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</si>
  <si>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</si>
  <si>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t>
  </si>
  <si>
    <t>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t>
  </si>
  <si>
    <t>CONTRATAR LOS SERVICIOS PROFESIONALES PARA BRINDAR ACOMPAÑAMIENTO EN LA PLANEACIÓN, SEGUIMIENTO Y CONTROL DE LOS PROYECTOS DE INFRAESTRUCTURA TECNOLÓGICA Y SEGURIDAD DE LA INFORMACIÓN. (ID: OTIC-226)</t>
  </si>
  <si>
    <t>PRESTAR SERVICIOS PROFESIONALES PARA APOYAR LAS ACTIVIDADES DE GOBIERNO DEL SISTEMA DE INFORMACIÓN - SIMON DE LA SUPERINTENDENCIA DEL SUBSIDIO FAMILIAR. (ID: OTIC-192).</t>
  </si>
  <si>
    <t>PRESTAR SERVICIOS PROFESIONALES PARA EL APOYO EN LA PLANEACIÓN, SEGUIMIENTO Y CONTROL DE LOS PROYECTOS DE DESARROLLO DE LOS SISTEMAS DE INFORMACIÓN DE LA SUPERINTENDENCIA DEL SUBSIDIO FAMILIAR. (ID: OTIC-175).</t>
  </si>
  <si>
    <t>PRESTAR SERVICIOS PROFESIONALES EN EL APOYO JURÍDICO Y CONTRACTUAL DE LOS PROCESOS DEL GRUPO DE GESTIÓN DEL TALENTO HUMANO DE LA SUPERINTENDENCIA DEL SUBSIDIO FAMILIAR (ID: GGTH-168).</t>
  </si>
  <si>
    <t>PRESTAR SERVICIOS PROFESIONALES PARA APOYAR LA GESTIÓN DE LA INFRAESTRUCTURA TECNOLÓGICA DE LA ENTIDAD DISPUESTA EN NUBE PÚBLICA Y EN PRIVADA DE LA SUPERINTENDENCIA DEL SUBSIDIO FAMILIAR. (ID: OTIC-178)</t>
  </si>
  <si>
    <t>PRESTAR SERVICIOS PROFESIONALES COMO DESARROLLADOR PARA APOYAR LAS AUTOMATIZACIONES EN LA PLATAFORMA DE GESTIÓN DE PROCESOS BPM DE LA SUPERINTENDENCIA DEL SUBSIDIO FAMILIAR. (ID: OTIC-182)</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</si>
  <si>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t>
  </si>
  <si>
    <t>PRESTAR SERVICIOS PROFESIONALES PARA APOYAR LA EJECUCIÓN Y FORTALECIMIENTO DE ACTIVIDADES RELACIONADAS CON EL COMPONENTE DE PARTICIPACIÓN CIUDADANA LIDERADOS POR LA OFICINA ASESORA DE PLANEACIÓN DE LA SUPERINTENDENCIA DE SUBSIDIO FAMILIAR. (ID: OAP 096)</t>
  </si>
  <si>
    <t>PRESTAR LOS SERVICIOS PROFESIONALES PARA APOYAR LA IMPLEMENTACIÓN DE POLÍTICAS Y LINEAMIENTOS DEL GOBIERNO Y GESTIÓN DE TECNOLOGÍA DE INFORMACIÓN DE LA SUPERINTENDENCIA DEL SUBSIDIO FAMILIAR. (ID: OTIC-204)</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</si>
  <si>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t>
  </si>
  <si>
    <t>PRESTAR SERVICIOS PROFESIONALES PARA APOYAR LA GESTIÓN DE LOS DIFERENTES ELEMENTOS DE INFRAESTRUCTURA TECNOLÓGICA DE LA SUPERINTENDENCIA DEL SUBSIDIO FAMILIAR. (ID: OTIC-179).</t>
  </si>
  <si>
    <t>PRESTAR SERVICIOS PROFESIONALES PARA APOYAR LA GENERACIÓN Y APLICACIÓN DE LINEAMIENTOS DE MEJORA Y MODERNIZACIÓN A TRAVÉS DE LA DESCRIPCIÓN DE MÉTODOS, HERRAMIENTAS ANALÍTICAS, PROCESOS Y ASPECTOS TÉCNICOS DEL SISTEMA DEL SUBSIDIO FAMILIAR PARA EL MEJORAMIENTO DE LA RELACIÓN CON LA CIUDADANÍA Y LA INTERACCIÓN CON LOS GRUPOS DE VALOR. (ID: OPU-113).</t>
  </si>
  <si>
    <t>PRESTAR SERVICIOS DE APOYO A LA GESTIÓN PARA EL SOPORTE DE SERVICIOS DE TI RELACIONADOS CON PERIFÉRICOS, HERRAMIENTAS DE OFIMÁTICA Y COMPONENTES TECNOLÓGICOS EN LA SUPERINTENDENCIA DEL SUBSIDIO FAMILIAR. (ID: OTIC-195).</t>
  </si>
  <si>
    <t>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 (ID: OPU-116)</t>
  </si>
  <si>
    <t>PRESTAR SERVICIOS DE APOYO A LA GESTIÓN PARA LA ATENCIÓN DE INCIDENTES Y EVENTOS DEL SISTEMA DE INFORMACIÓN SIMON DE LA SUPERINTENDENCIA DEL SUBSIDIO FAMILIAR. (ID: OTIC-200).</t>
  </si>
  <si>
    <t>PRESTAR SERVICIOS PROFESIONALES PARA APOYAR EL PROCESO DE VERIFICACIÓN DE LINEAMIENTOS JURÍDICOS DE LOS SERVICIOS, PROGRAMAS SOCIALES Y OPERACIONES QUE REALIZAN LAS CAJAS DE COMPENSACIÓN FAMILIAR, PARA EL FORTALECIMIENTO DEL PROCESO DE IVC. (ID: SDG-273)</t>
  </si>
  <si>
    <t>PRESTAR SERVICIOS PROFESIONALES PARA APOYAR EL FORTALECIMIENTO Y MEJORA CONTINUA DEL MODELO INTEGRADO DE PLANEACIÓN Y GESTIÓN (MIPG) DE LA SUPERINTENDENCIA DEL SUBSIDIO FAMILIAR, CON EL FIN DE CONTRIBUIR A LA GESTIÓN PÚBLICA DE LA ENTIDAD. (ID: OAP-095).</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</si>
  <si>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OPU-105)</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</si>
  <si>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t>
  </si>
  <si>
    <t>CONTRATAR LOS SERVICIOS PROFESIONALES PARA BRINDAR ACOMPAÑAMIENTO EN LA PLANEACIÓN, SEGUIMIENTO Y CONTROL DE LOS PROYECTOS DE LA PLATAFORMA DE GESTIÓN DE PROCESOS BPM DE LA SUPERINTENDENCIA DEL SUBSIDIO FAMILIAR.. (ID: OTIC-187).</t>
  </si>
  <si>
    <t>PRESTAR SERVICIOS DE APOYO A LA GESTIÓN PARA BRINDAR INFORMACIÓN DEL SISTEMA DEL SUBSIDIO FAMILIAR A LOS GRUPOS DE INTERÉS Y DE VALOR DE LA SUPERINTENDENCIA DEL SUBSIDIO FAMILIAR A TRAVÉS DE LOS CANALES DE ATENCIÓN DISPUESTOS POR LA ENTIDAD. (ID: OPU-102)</t>
  </si>
  <si>
    <t>PRESTAR LOS SERVICIOS PROFESIONALES PARA APOYAR EL COMPONENTE FINANCIERO EN LA ESTRUCTURACIÓN Y DELIMITACIÓN DE INDICADORES EN EL MARCO DE LA MODERNIZACIÓN DE IVC DE LA SUPERINTENDENCIA DEL SUBSIDIO FAMILIAR. (ID: SDG-301).</t>
  </si>
  <si>
    <t>PRESTAR SERVICIOS DE APOYO A LA GESTIÓN EN LOS PROCESOS RELACIONADOS CON LA LABOR DE IVC EN LA SUPERINTENDENCIA DELEGADA PARA LA GESTIÓN. (ID: SDG-287)</t>
  </si>
  <si>
    <t>PRESTAR SERVICIOS PROFESIONALES COMO DESARROLLO DE SOFTWARE PARA LA ATENCIÓN DE EVENTOS DEL SISTEMA DE INFORMACIÓN SIMON. (ID: OTIC-174)</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</si>
  <si>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 (ID: OPU-106).</t>
  </si>
  <si>
    <t>PRESTAR SERVICIOS PROFESIONALES PARA CONTRIBUIR EN LA FORMULACIÓN Y DESARROLLO DE INDICADORES EN MATERIA DE SERVICIOS SOCIALES Y FONDOS DE LEY DE LAS CAJAS DE COMPENSACIÓN FAMILIAR. (ID: SDG-280)</t>
  </si>
  <si>
    <t>PRESTAR LOS SERVICIOS PROFESIONALES PARA ACOMPAÑAR LA CONSOLIDACIÓN Y REPORTE DE LA INFORMACIÓN SOLICITADA POR LAS ÁREAS DE LA ENTIDAD. (ID: OAJ-139)</t>
  </si>
  <si>
    <t>PRESTAR SERVICIOS PROFESIONALES PARA APOYAR EL ANÁLISIS, ESTRUCTURACIÓN Y DESARROLLO DE SOLUCIONES ANALÍTICAS BASADAS EN DATOS DE LA SUPERINTENDENCIA DEL SUBSIDIO FAMILIAR. (ID: OTIC-180)</t>
  </si>
  <si>
    <t>PRESTAR SERVICIOS PROFESIONALES PARA APOYAR LA GESTIÓN DE BASES DE DATOS DE LOS SISTEMAS DE INFORMACIÓN DE LA SUPERINTENDENCIA DEL SUBSIDIO FAMILIAR (ID: OTIC-181).</t>
  </si>
  <si>
    <t>PRESTAR SERVICIOS PROFESIONALES COMO DESARROLLADOR PARA APOYAR EL BACK END DE LOS SISTEMAS DE INFORMACIÓN, PROCESOS DE INTEGRACIÓN Y MIGRACIÓN DE DATOS DE LA SUPERINTENDENCIA DEL SUBSIDIO FAMILIAR. (ID: OTIC-183)</t>
  </si>
  <si>
    <t>PRESTAR LOS SERVICIOS PROFESIONALES PARA APOYAR LA REVISIÓN DE LOS ASPECTOS FINANCIEROS Y CONTABLES DEL PROCESO DE VISITAS A ENTES VIGILADOS DE ACUERDO A LA COMPETENCIA DE LA SUPERINTENDENCIA DELEGADA PARA LA GESTIÓN. (ID: SDG-270).</t>
  </si>
  <si>
    <t>PRESTAR SERVICIOS DE APOYO A LA GESTIÓN PARA BRINDAR INFORMACIÓN DEL SISTEMA DEL SUBSIDIO FAMILIAR A LOS GRUPOS DE INTERÉS Y DE VALOR DE LA SUPERINTENDENCIA DEL SUBSIDIO FAMILIAR A TRAVÉS DE LOS CANALES DE ATENCIÓN DISPUESTOS POR LA ENTIDAD. (ID: OPU-103).</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</si>
  <si>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OPU-107)</t>
  </si>
  <si>
    <t>PRESTAR LOS SERVICIOS DE APOYO A LA GESTIÓN AL GRUPO DE GESTION DOCUMENTAL Y NOTIFICACIONES DE LA SUPERINTENDENCIA DEL SUBSIDIO FAMILIAR. (ID: GGD-024)</t>
  </si>
  <si>
    <t>PRESTAR SERVICIOS PROFESIONALES EN LA GESTIÓN DE TRAMITES ADMINISTRATIVOS Y SEGUIMIENTO DE LAS ACTIVIDADES DESARROLLADAS POR LA DELEGADA DE RESPONSABILIDAD ADMINISTRATIVA Y LAS MEDIDAS ESPECIALES, EN EL MARCO DEL PROYECTO" MODERNIZACIÓN DE LA INSPECCIÓN, VIGILANCIA Y CONTROL DE LA SUPERINTENDENCIA DEL SUBSIDIO FAMILIAR". (ID: SDRAME-053)</t>
  </si>
  <si>
    <t>PRESTAR LOS SERVICIOS PROFESIONALES PARA APOYAR EL DESARROLLO DE LA ACTIVIDAD DEL PROYECTO DE INVERSIÓN A CARGO DE LA OFICINA ASESORA JURÍDICA, ASÍ COMO LA GESTIÓN DE COBRO COACTIVO A CARGO DE LA SUPERINTENDENCIA DEL SUBSIDIO FAMILIAR. (ID: OAJ-135)</t>
  </si>
  <si>
    <t>PRESTAR SERVICIOS PROFESIONALES PARA APOYAR EL FORTALECIMIENTO DEL DESARROLLO DEL SISTEMA INTEGRADO DE ALERTAS TEMPRANAS EN LA SUPERINTENDENCIA DELEGADA PARA LA GESTIÓN, COMO HERRAMIENTA DE MODERNIZACIÓN DE LA IVC DE LA SUPERSUBSIDIO. (ID: SDG-279).</t>
  </si>
  <si>
    <t>PRESTAR SERVICIOS PROFESIONALES PARA BRINDAR ACOMPAÑAMIENTO EN EL ANÁLISIS, MODELAMIENTO Y DESARROLLO DE SOLUCIONES ANALÍTICAS EN LA SUPERINTENDENCIA DEL SUBSIDIO FAMILIAR. (ID: OTIC-177)</t>
  </si>
  <si>
    <t>PRESTAR SERVICIOS PROFESIONALES PARA APOYAR LA GESTIÓN EN LA PLANEACIÓN, SEGUIMIENTO Y CONTROL DE LOS PROYECTOS ESTRATÉGICOS DE TECNOLOGÍA DE LA SUPERINTENDENCIA DEL SUBSIDIO FAMILIAR (ID: OTIC-227).</t>
  </si>
  <si>
    <t>PRESTAR LOS SERVICIOS PROFESIONALES PARA APOYAR LAS ACTIVIDADES RELACIONADAS CON LA IVC DE LOS FONDOS DE LEY Y LOS PROYECTOS DE INVERSIÓN EJECUTADOS POR LAS CAJAS DE COMPENSACIÓN FAMILIAR. (ID: SDG-291).</t>
  </si>
  <si>
    <t>PRESTAR SERVICIOS DE APOYO A LA GESTIÓN EN LOS PROCESOS RELACIONADOS CON LA LABOR DE IVC EN LA SUPERINTENDENCIA DELEGADA PARA LA GESTIÓN. (ID: SDG-289).</t>
  </si>
  <si>
    <t>PRESTAR SERVICIOS PROFESIONALES PARA EL ACOMPAÑAMIENTO EN EL DESARROLLO Y VERIFICACIÓN DE LA APLICACIÓN DE ESTRATEGIAS PARA EL CIERRE DE BRECHAS EN LA OPERACIÓN ESTADÍSTICA Y LOS ESTUDIOS E INVESTIGACIONES ADELANTADOS POR LA SDEEEP, QUE MEJORE LA CALIFICACIÓN POSIBLE DURANTE EL PROCESO DE AUTODIAGNÓSTICO Y EVALUACIÓN DEL ÍNDICE DE DESEMPEÑO INSTITUCIONAL A TRAVÉS DEL FURAG. (ID: SDEEEP-266)</t>
  </si>
  <si>
    <t>PRESTAR SERVICIOS PROFESIONALES PARA EL ACOMPAÑAMIENTO JURÍDICO AL GRUPO DE GESTIÓN CONTRACTUAL EN LOS PROCESOS DE CONTRATACIÓN QUE SE ADELANTEN. (ID: GGC-032).</t>
  </si>
  <si>
    <t>SITUANDO SAS</t>
  </si>
  <si>
    <t>CONTRATAR A TÍTULO DE ARRENDAMIENTO 2.750 MTS2 COMPRENDIDOS ENTRE LOS PISOS 3, 4 Y 7 UBICADOS EN LA CARRERA 69 NO. 25B-44, DEBIDAMENTE ADECUADO, CON OFICINAS FUNCIONALES Y AJUSTADAS A LAS NECESIDADES DE LA ENTIDAD Y 53 PARQUEADEROS, PARA EL FUNCIONAMIENTO DE LA SEDE DE LA SUPERINTENDENCIA DEL SUBSIDIO FAMILIAR.</t>
  </si>
  <si>
    <t>403-2022</t>
  </si>
  <si>
    <t>% EJECUCION (PAGOS) AL 31-11-2025</t>
  </si>
  <si>
    <t>PRESTAR EL SERVICIO INTEGRAL DE ASEO Y CAFETERÍA INCLUIDOS LOS SUMINISTROS REQUERIDOS EN LA SUPERINTENDENCIA DEL SUBSIDIO FAMILIAR. (ID: GGA-835)</t>
  </si>
  <si>
    <t>CONSORCIO KIOS</t>
  </si>
  <si>
    <t>422-2024</t>
  </si>
  <si>
    <t xml:space="preserve"> ANUBIS LTDA</t>
  </si>
  <si>
    <t>CONTRATAR EL SERVICIO DE VIGILANCIA Y SEGURIDAD PRIVADA PARA LAS SEDES DE LA SUPERINTENDENCIA DEL SUBSIDIO FAMILIAR. (ID: 4134).</t>
  </si>
  <si>
    <t>373-2023</t>
  </si>
  <si>
    <t>GRUPO EDS AUTOGAS S.A.S.</t>
  </si>
  <si>
    <t>Adquirir el suministro de Combustible en la ciudad de Bogotá para el parque automotor de la Superintendencia del Subsidio Familiar (ID4110).</t>
  </si>
  <si>
    <t>364-2023</t>
  </si>
  <si>
    <t>PRESTAR LOS SERVICIOS DE APOYO A LA GESTIÓN PARA LA IMPLEMENTACIÓN DE CURSOS EN MODALIDAD ELEARNING DE ACUERDO CON EL PLAN DE USO Y APROPIACIÓN QUE SE ADELANTA EN LA OFICINA OTIC DE LA SUPERINTENDENCIA DEL SUBSIDIO FAMILIAR. ID: OTIC -216</t>
  </si>
  <si>
    <t>057-2025</t>
  </si>
  <si>
    <t>MIGUEL ÁNGEL MEDINA CHICUAZUQUE</t>
  </si>
  <si>
    <t>076-2025</t>
  </si>
  <si>
    <t>077-2025</t>
  </si>
  <si>
    <t>078-2025</t>
  </si>
  <si>
    <t>079-2025</t>
  </si>
  <si>
    <t>080-2025</t>
  </si>
  <si>
    <t>081-2025</t>
  </si>
  <si>
    <t>082-2025</t>
  </si>
  <si>
    <t>083-2025</t>
  </si>
  <si>
    <t>084-2025</t>
  </si>
  <si>
    <t>085-2025</t>
  </si>
  <si>
    <t>086-2025</t>
  </si>
  <si>
    <t>087-2025</t>
  </si>
  <si>
    <t>088-2025</t>
  </si>
  <si>
    <t>089-2025</t>
  </si>
  <si>
    <t>090-2025</t>
  </si>
  <si>
    <t>091-2025</t>
  </si>
  <si>
    <t>092-2025</t>
  </si>
  <si>
    <t>093-2025</t>
  </si>
  <si>
    <t>094-2025</t>
  </si>
  <si>
    <t>095-2025</t>
  </si>
  <si>
    <t>096-2025</t>
  </si>
  <si>
    <t>097-2025</t>
  </si>
  <si>
    <t>098-2025</t>
  </si>
  <si>
    <t>099-2025</t>
  </si>
  <si>
    <t>100-2025</t>
  </si>
  <si>
    <t>101-2025</t>
  </si>
  <si>
    <t>102-2025</t>
  </si>
  <si>
    <t>103-2025</t>
  </si>
  <si>
    <t>104-2025</t>
  </si>
  <si>
    <t>105-2025</t>
  </si>
  <si>
    <t>106-2025</t>
  </si>
  <si>
    <t>107-2025</t>
  </si>
  <si>
    <t>108-2025</t>
  </si>
  <si>
    <t>109-2025</t>
  </si>
  <si>
    <t>110-2025</t>
  </si>
  <si>
    <t>111-2025</t>
  </si>
  <si>
    <t>112-2025</t>
  </si>
  <si>
    <t>113-2025</t>
  </si>
  <si>
    <t>114-2025</t>
  </si>
  <si>
    <t>115-2025</t>
  </si>
  <si>
    <t>117-2025</t>
  </si>
  <si>
    <t>118-2025</t>
  </si>
  <si>
    <t>119-2025</t>
  </si>
  <si>
    <t>LEISIS MARÍA HERNANDEZ URECHE</t>
  </si>
  <si>
    <t>NIDIA JOHANNA PRÓDIGO SARMIENTO</t>
  </si>
  <si>
    <t>CAROL ZAPATA HUERTAS</t>
  </si>
  <si>
    <t>RODRIGO ANDRÉS PLAZAS YEPES</t>
  </si>
  <si>
    <t>ZAMIRA ROVIRA LONDOÑO</t>
  </si>
  <si>
    <t>CÉSAR ALEXANDER GAITÁN MONROY</t>
  </si>
  <si>
    <t>JOHN ALEXANDER GUZMAN LUGO</t>
  </si>
  <si>
    <t>YEIMI ALEJANDRA FUENTES FONTECHA</t>
  </si>
  <si>
    <t>JENNIFER ANDREA BETIN MEJIA</t>
  </si>
  <si>
    <t>NASLY DANIELA YEPES FIGUEROA</t>
  </si>
  <si>
    <t>FABIAN VICENTE MAYOR OLAYA</t>
  </si>
  <si>
    <t>HECTOR HUGO HERRERA RODRIGUEZ</t>
  </si>
  <si>
    <t>MAURICIO URREGO BOTIA</t>
  </si>
  <si>
    <t>ZULMA PAOLA RUIZ OSORIO</t>
  </si>
  <si>
    <t>LUISA VIVIANA ACOSTA ORTIZ</t>
  </si>
  <si>
    <t>EFRAÍN DÍAZ MEJÍA</t>
  </si>
  <si>
    <t>ANDREA YOHANA RODRIGUEZ DELGADO</t>
  </si>
  <si>
    <t>DIEGO ARMANDO FAJARDO PINZON</t>
  </si>
  <si>
    <t>ANDRÉS CAMILO BOHORQUEZ MONTAÑA</t>
  </si>
  <si>
    <t>LAURA VIVIANA DELGADO MORALES</t>
  </si>
  <si>
    <t>YOBANNI TORRES MOLINA</t>
  </si>
  <si>
    <t>FERNANDO ALFONSO DIAZ MEDINA</t>
  </si>
  <si>
    <t>ANDREA LUCÍA DAZA DANGOND</t>
  </si>
  <si>
    <t>LAURA ISABELLA CARO RIVERA</t>
  </si>
  <si>
    <t>MARIA DE LOS ANGELES MEJIA GARCIA</t>
  </si>
  <si>
    <t>LAURA DANIELA RODRIGUEZ BORDA</t>
  </si>
  <si>
    <t>COMUNICACIÓN CELULAR S.A COMCEL S.A</t>
  </si>
  <si>
    <t>ENNA LISBETH ONATRA CAMPO</t>
  </si>
  <si>
    <t>ANGELICA VIVIANA MICAN PIÑEROS</t>
  </si>
  <si>
    <t>SANDRA LORENA ALVAREZ PAVA</t>
  </si>
  <si>
    <t>CARLOS ANDRES PATIÑO GRAJALES</t>
  </si>
  <si>
    <t>EDDIER ANTONIO BURITICA CARDONA</t>
  </si>
  <si>
    <t>MABEL ROCIO CASTILLO PINEDA</t>
  </si>
  <si>
    <t>IVAN AUGUSTO BRICEÑO LINARES</t>
  </si>
  <si>
    <t>ERNANDO JOSE DAVID TORRES</t>
  </si>
  <si>
    <t>ANGIE CATHERINE MATEUS ORTIZ</t>
  </si>
  <si>
    <t>ANDRES EDUARDO ROLDAN MARTINEZ</t>
  </si>
  <si>
    <t>GLADYS LILIANA CELIS LEÓN</t>
  </si>
  <si>
    <t>CARLOS JULIO MARTINEZ TAMARA</t>
  </si>
  <si>
    <t>JENNYFER FORERO VALENZUELA</t>
  </si>
  <si>
    <t>CAROLINA LOPEZ DURAN</t>
  </si>
  <si>
    <t>JOSE ALBERTO FORERO TRIANA</t>
  </si>
  <si>
    <t>LUISA FERNANDA GALAN VIASUS</t>
  </si>
  <si>
    <t>PRESTAR SERVICIOS PROFESIONALES PARA APOYAR LAS ACTIVIDADES RELACIONADAS CON LA PLANEACIÓN, SEGUIMIENTO Y LA GESTIÓN ADMINISTRATIVA Y FINANCIERA DE LOS PLANES, PROGRAMAS Y PROYECTOS DE INVERSIÓN PARA OBRAS O SERVICIOS SOCIALES QUE DESARROLLEN LAS CAJAS DE COMPENSACIÓN FAMILIAR. (ID: SDEEEP-239).</t>
  </si>
  <si>
    <t>PRESTAR SERVICIOS PROFESIONALES PARA APOYAR LAS ACTIVIDADES DE PLANEACIÓN ESTRATÉGICA DE LA ARQUITECTURA DE SISTEMAS DE INFORMACIÓN DE LA ENTIDAD DE LA SUPERINTENDENCIA DEL SUBSIDIO FAMILIAR. (ID: OTIC-231).</t>
  </si>
  <si>
    <t>PRESTAR SERVICIOS PROFESIONALES CON EL FIN DE BRINDAR APOYO AL GRUPO DE GESTIÓN DEL TALENTO HUMANO EN LA PROYECCIÓN Y LIQUIDACIÓN DE LA NÓMINA DE LA SUPERINTENDENCIA DEL SUBSIDIO FAMILIAR DE CONFORMIDAD CON LA NORMATIVIDAD LEGAL VIGENTE. (ID: GGTH-161)</t>
  </si>
  <si>
    <t>PRESTAR SERVICIOS PROFESIONALES ESPECIALIZADOS PARA APOYAR EL SEGUIMIENTO FINANCIERO Y CONTABLE SOBRE LAS COMPETENCIAS PROPIAS DEL DESPACHO DE LA SUPERINTENDENCIA DE SUBSIDIO FAMILIAR. (ID: DES-040)</t>
  </si>
  <si>
    <t>PRESTAR SERVICIOS PROFESIONALES PARA APOYAR EL SEGUIMIENTO A LAS CAJAS DE COMPENSACIÓN FAMILIAR, EN EL PROCESO DE IVC. (ID: SDG-282)</t>
  </si>
  <si>
    <t>PRESTAR SERVICIOS PROFESIONALES PARA REALIZAR ANALISIS DEL SECTOR REQUERIDOS DENTRO DE LOS PROCESOS CONTRACTUALES Y BASES DE DATOS QUE SE REQUIERAN EN EL GRUPO DE GESTIÓN CONTRACTUAL. (ID:GGC-034).</t>
  </si>
  <si>
    <t>PRESTAR SERVICIOS DE APOYO A LA GESTION AL GRUPO DE TALENTO HUMANO EN LAS ACTIVIDADES OPERATIVAS INHERENTES A LA NOMINA DE LA SSF. (ID: GGTH-154)</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</si>
  <si>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SDG-285).</t>
  </si>
  <si>
    <t>PRESTAR SERVICIOS PROFESIONALES PARA APOYAR LA PROYECCIÓN, REVISIÓN Y ANÁLISIS DE LOS DOCUMENTOS JURÍDICOS QUE REQUIERA EL DESPACHO DE LA SUPERINTENDENCIA DE SUBSIDIO FAMILIAR. (ID: DES-313)</t>
  </si>
  <si>
    <t xml:space="preserve">	PRESTAR SERVICIOS PROFESIONALES PARA EL ACOMPAÑAMIENTO JURÍDICO AL GRUPO DE GESTIÓN CONTRACTUAL EN LOS PROCESOS DE CONTRATACIÓN QUE SE ADELANTEN. (Número: GGC-035)</t>
  </si>
  <si>
    <t>PRESTAR LOS SERVICIOS PROFESIONALES ESPECIALIZADOS EN EL ACOMPAÑAMIENTO Y REVISIÓN DE LOS TRAMITES JURÍDICOS DE LA SECRETARIA GENERAL DE LA SUPERINTENDENCIA DE SUBSIDIO FAMILIAR. (Número: SG-083)</t>
  </si>
  <si>
    <t>PRESTAR LOS SERVICIOS PROFESIONALES EN EL ACOMPAÑAMIENTO DE ASUNTOS JURÍDICOS PARA REALIZAR VALIDACIONES DE LA INFORMACIÓN DE LOS SERVICIOS, PROGRAMAS SOCIALES Y OPERACIONES QUE PRESTAN LAS CAJAS DE COMPENSACIÓN. (Número: SDG-274)</t>
  </si>
  <si>
    <t>PRESTAR LOS SERVICIOS PROFESIONALES PARA BRINDAR APOYO EN LAS ACTIVIDADES DE PLANEACIÓN ESTRATÉGICA DE LA ARQUITECTURA DE INFORMACIÓN DE LA SUPERINTENDENCIA DEL SUBSIDIO FAMILIAR. (Número: OTIC-203).</t>
  </si>
  <si>
    <t>PRESTAR SERVICIOS PROFESIONALES PARA REALIZAR ACTIVIDADES DE SUSTANCIACIÓN Y ADELANTAMIENTO DE ACTIVIDADES JURÍDICAS DENTRO DE LOS PROCESOS QUE REALIZA LA DELEGADA PARA LA RESPONSABILIDAD ADMINISTRATIVA Y LAS MEDIDAS ESPECIALES, ASÍ COMO REALIZAR EL ACOMPAÑAMIENTO A LA SUPERVISIÓN DE LOS CONTRATOS DE LA COORDINACIÓN DE RESPONSABILIDAD ADMINISTRATIVA, EN EL MARCO DEL PROYECTO "MODERNIZACIÓN DE LA INSPECCIÓN, VIGILANCIA Y CONTROL DE LA SUPERINTENDENCIA DEL SUBSIDIO FAMILIAR. (ID: SDRAME-060).</t>
  </si>
  <si>
    <t xml:space="preserve">	PRESTAR SERVICIOS PROFESIONALES AL GRUPO DE GESTIÓN DEL TALENTO HUMANO PARA REALIZAR ACOMPAÑAMIENTO EN LAS ACTIVIDADES PROPIAS A LA IMPLEMENTACIÓN DEL SISTEMA DE GESTIÓN DE SEGURIDAD Y SALUD EN EL TRABAJO SG-SST Y SEGUIMIENTO A LA POLÍTICA DE SGSST. (Número: GGTH-152)</t>
  </si>
  <si>
    <t>PRESTAR SERVICIOS PROFESIONALES PARA APOYAR LA IMPLEMENTACIÓN DE SERVICIOS DE INFORMACIÓN EN UNA ARQUITECTURA ORIENTADA SERVICIOS DE LA SUBSIDIO FAMILIAR. (Número: OTIC-230).</t>
  </si>
  <si>
    <t>PRESTAR LOS SERVICIOS PROFESIONALES PARA EL ACOMPAMIENTO EN LA DEFINICIÓN Y ESTRUCTURACIÓN DE PROCEDIMIENTOS INTERNOS QUE OPTIMICEN EL EJERCICIO DE IVC POR PARTE DE LA SUPERINTENDENCIA DELEGADA PARA LA GESTIÓN, EN LA IMPLEMENTACIÓN DEL MODELO DE PLANEACIÓN Y GESTIÓN DEL MARCO DE LA ARQUITECTURA EMPRESARIAL. (ID: SDG-305).</t>
  </si>
  <si>
    <t>PRESTAR SERVICIOS PROFESIONALES COMO DESARROLLOR PARA APOYAR EL DESARROLLO DE SOFTWARE Y SOPORTE A LA INTEROPERABILIDAD E INTEGRACIÓN ENTRE SISTEMAS DE INFORMACIÓN DE LA SUPERINTENDENCIA DEL SUBSIDIO FAMILIAR. (Número: OTIC-185)</t>
  </si>
  <si>
    <t>PRESTAR SERVICIOS PROFESIONALES PARA APOYAR LA PRODUCCIÓN Y DISEÑO DEL MATERIAL GRÁFICO, DIGITAL Y LA EMISIÓN DE MENSAJES AUDIOVISUALES DE LA SUPERINTENDENCIA DEL SUBSIDIO FAMILIAR. (Número: COM-140)</t>
  </si>
  <si>
    <t>PRESTAR SERVICIOS PROFESIONALES PARA APOYAR LA DIVULGACIÓN DE LA INFORMACIÓN DE LAS DIFERENTES ÁREAS DE LA SUPERINTENDENCIA EN LO RELACIONADO CON COMUNICACIÓN INTERNA. (ID: COM-150)</t>
  </si>
  <si>
    <t>PRESTAR SERVICIOS PROFESIONALES BRINDANDO APOYO A LAS ACTIVIDADES DE FUNCIONAMIENTO QUE SE REALIZAN DENTRO DE LOS PROCESOS A CARGO DEL GRUPO DE GESTIÓN ADMINISTRATIVA DE LA SECRETARÍA GENERAL. (NÚMERO: GGA-019).</t>
  </si>
  <si>
    <t>PRESTAR SERVICIOS PROFESIONALES PARA ACOMPAÑAR LA ARTICULACIÓN DE LOS PLANES Y PROGRAMAS EN EL MARCO DE MIPG A CARGO DEL GRUPO DE GESTION ADMINISTRATIVA DE LA SUPERINTENDENCIA DEL SUBSIDIO FAMILIAR. (ID: GGA-014).</t>
  </si>
  <si>
    <t>PRESTAR SERVICIOS PROFESIONALES PARA APOYAR LAS ACTIVIDADES DE COMUNICACIÓN DE LA SUPERINTENDENCIA DEL SUBSIDIO FAMILIAR (ID: COM-151)</t>
  </si>
  <si>
    <t>PRESTAR SERVICIOS PROFESIONALES PARA APOYAR LA PUBLICACIÓN EN MEDIOS DIGITALES Y REDES SOCIALES DE LA INFORMACIÓN INSTITUCIONAL DISEÑADA EN LA SUPERINTENDENCIA DEL SUBSIDIO FAMILIAR. (Número: COM-149)</t>
  </si>
  <si>
    <t>PRESTAR SERVICIOS PROFESIONALES AL GRUPO DE GESTIÓN DEL TALENTO HUMANO PARA APOYAR LA EJECUCIÓN DEL PROGRAMA DE BIENESTAR E INCENTIVOS Y CLIMA Y CULTURA ORGANIZACIONAL DE LA SSF. (ID: GGTH-166).</t>
  </si>
  <si>
    <t>PRESTAR LOS SERVICIOS PROFESIONALES PARA APOYAR EL DESARROLLO DE LA ACTIVIDAD DEL PROYECTO DE INVERSIÓN DE IVC A CARGO DE LA OFICINA ASESORA JURÍDICA, ASÍ COMO CON LA EJECUCIÓN DE LAS ACTIVIDADES JURÍDICAS PROPIAS DEL ÁREA. (ID: OAJ-136)</t>
  </si>
  <si>
    <t>PRESTAR SERVICIOS DE CONECTIVIDAD TERRESTRE PARA LA SUPERINTENDENCIA DEL SUBSIDIO FAMILIAR (ID: OTIC – 224)</t>
  </si>
  <si>
    <t>PRESTAR SERVICIOS PROFESIONALES PARA APOYAR EL DISEÑO E IMPLEMENTACIÓN DE LA ESTRATEGIA DE COMUNICACIONES DE LA SUPERINTENDENCIA DEL SUBSIDIO FAMILIAR. (Número: COM-141).</t>
  </si>
  <si>
    <t>PRESTAR SERVICIOS PROFESIONALES PARA APOYAR LA PRODUCCIÓN DE INFORMACIÓN DE LAS ÁREAS DE LA SUPERINTENDENCIA DEL SUBSIDIO FAMILIAR. (ID: COM-143)</t>
  </si>
  <si>
    <t>PRESTAR SERVICIOS PROFESIONALES PARA APOYAR LA COMUNICACIÓN, INFORMACIÓN Y NOTICIAS DE LA SUPERINTENDENCIA DEL SUBSIDIO FAMILIAR. (Número: COM-146)</t>
  </si>
  <si>
    <t>PRESTAR SERVICIOS PROFESIONALES PARA APOYAR JURÍDICAMENTE AL GRUPO DE GESTIÓN DE TALENTO HUMANO EN LA ELABORACIÓN DE ACTOS ADMINISTRATIVOS Y REVISIÓN DE DOCUMENTACIÓN PRECONTRACTUAL. (ID: GGTH-159)</t>
  </si>
  <si>
    <t>PRESTAR SERVICIOS PROFESIONALES EN LAS ACTIVIDADES DE LA DELEGADA DE ESTUDIOS ESPECIALES Y EVALUACIÓN DE PROYECTOS EN EL ESTUDIO DE PROYECCIÓN - DEMOGRÁFICO. (ID: SDEEEP-307)</t>
  </si>
  <si>
    <t>PRESTAR SERVICIOS PROFESIONALES AL DESPACHO DE LA SUPERINTENDENCIA DEL SUBSIDIO FAMILIAR APOYANDO LAS ACTIVIDADES ADMINISTRATIVAS DE COMPETENCIA DEL SUPERINTENDENTE. (ID: DES-044)</t>
  </si>
  <si>
    <t>PRESTAR SERVICIOS PROFESIONALES PARA APOYAR LA PUBLICACIÓN DE LA INFORMACIÓN INSTITUCIONAL EN LA SEDE ELECTRÓNICA PARA LA SUPERINTENDENCIA DEL SUBSIDIO FAMILIAR. (Número: COM-142)</t>
  </si>
  <si>
    <t>PRESTAR SERVICIOS PROFESIONALES A LA SUPERINTENDENCIA DELEGADA PARA ESTUDIOS ESPECIALES Y LA EVALUACIÓN DE PROYECTOS EN EL SEGUIMIENTO Y VERIFICACIÓN DE LOS PROCESOS DE PLANEACIÓN Y GESTIÓN DE LOS PLANES, PROGRAMAS Y PROYECTOS DE INVERSIÓN PARA OBRAS O SERVICIOS SOCIALES QUE DESARROLLEN LAS CAJAS DE COMPENSACIÓN FAMILIAR. (ID: SDEEEP-238)</t>
  </si>
  <si>
    <t>(ID: OPU-117) PRESTAR SERVICIOS PROFESIONALES PARA APOYAR LA ELABORACIÓN, GESTIÓN Y DIVULGACIÓN DE CONTENIDO DIRIGIDO A LOS GRUPOS DE VALOR Y DE INTERÉS DE LA SUPERINTENDENCIA DEL SUBSIDIO FAMILIAR ENCAMINADO A FORTALECER EL RELACIONAMIENTO CON LA CIUDADANÍA.</t>
  </si>
  <si>
    <t>PRESTAR SERVICIOS PROFESIONALES COMO DESARROLLO DE SOFTWARE PARA EL APOYO A LA INTEGRACIÓN DE LOS SISTEMAS DE INFORMACIÓN DE LA SUPERINTENDENCIA DEL SUBSIDIO FAMILIAR. (ID: OTIC-176)</t>
  </si>
  <si>
    <t>CONTRATAR LA PRESTACION DE SERVICIOS PROFESIONALES PARA APOYAR AL AREA EN LOS PROCESOS DE GESTION DOCUMENTAL Y REALIZAR EL SEGUIMIENTO DEL PLAN INSTITUCIONAL DE ARCHIVOS. (Número: GGD-023)</t>
  </si>
  <si>
    <t>PRESTAR SERVICIOS PROFESIONALES PARA APOYAR EL COMPONENTE AUDIOVISUAL DE LAS ACTIVIDADES INSTITUCIONALES DE LA SUPERINTENDENCIA DEL SUBSIDIO FAMILIAR. (ID: COM-144)</t>
  </si>
  <si>
    <t>PRESTAR SERVICIOS PROFESIONALES PARA BRINDAR APOYO A LAS ACTIVIDADES DE PLANEACIÓN ESTRATÉGICA DE LA ARQUITECTURA, FORMULACIÓN DEL PETI Y LA ESTRUCTURACIÓN Y DESARROLLO DE LOS EJERCICIOS DE ARQUITECTURA EMPRESARIAL DE LA SUBSIDIO FAMILIAR (ID: OTIC-229).</t>
  </si>
  <si>
    <t>PRESTAR SERVICIOS PROFESIONALES EN LA OFICINA ASESORA DE PLANEACIÓN, APOYANDO LA IMPLEMENTACIÓN Y FORMULACIÓN DE POLÍTICAS RELACIONADAS CON LA TRANSVERSALIZACIÓN INTEGRAL DEL ENFOQUE DE GÉNERO DE LA SUPERINTENDENCIA DEL SUBSIDIO FAMILIAR. ID: OAP-314</t>
  </si>
  <si>
    <t>PRESTAR LOS SERVICIOS PROFESIONALES PARA APOYAR EL COMPONENTE DE GESTIÓN DE SISTEMAS DE INFORMACIÓN DE LA OFICINA DE CONTROL INTERNO DE LA SUPERINTENDENCIA DEL SUBSIDIO FAMILIAR, EN LA EJECUCIÓN DEL PLAN ANUAL DE AUDITORÍAS Y LA ELABORACIÓN Y SEGUIMIENTO DE INFORMES APROBADOS POR EL COMITÉ INSTITUCIONAL DE COORDINACIÓN DE CONTROL INTERNO. (Número: OCI-101).</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</si>
  <si>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(Número: OCI-100).</t>
  </si>
  <si>
    <t>267-2024</t>
  </si>
  <si>
    <t>COMUNICACION CELULAR S A COMCEL S A</t>
  </si>
  <si>
    <t>prestar servicios de nube privada de infraestructura. (id: otic-702)</t>
  </si>
  <si>
    <t>237-2024</t>
  </si>
  <si>
    <t>PRESTAR SERVICIOS DE CONECTIVIDAD TERRESTRE. (NÚMERO: OTIC-703).</t>
  </si>
  <si>
    <t>PRESTAR SERVICIOS PROFESIONALES JURÍDICOS PARA BRINDAR ACOMPAÑAMIENTO EN LOS TRÁMITES PRECONTRACTUALES, CONTRACTUALES, POSTCONTRACTUALES Y DE TIENDA VIRTUAL EN EL GRUPO DE GESTIÓN CONTRACTUAL DE LA SSF. (Número: GGC-320).</t>
  </si>
  <si>
    <t>131-2025</t>
  </si>
  <si>
    <t>432-2022</t>
  </si>
  <si>
    <t>El presente contrato tuvo una terminación anticipada el 28 de mayo de 2025</t>
  </si>
  <si>
    <t>CAJA DE COMPENSACION FAMILIAR CAFAM</t>
  </si>
  <si>
    <t>PRESTAR SERVICIOS DE APOYO A LA GESTIÓN PARA EL DESARROLLO DEL PROGRAMA DE BIENESTAR E INCENTIVOS, EN EL MARCO DE MIPG-CLIMA ORGANIZACIONAL Y LAS ACTIVIDADES CONTEMPLADAS EN EL PLAN DEL SISTEMA DE GESTIÓN SEGURIDAD Y SALUD EN EL TRABAJO SG-SST, PARA LOS SERVIDORES DE LA SUPERINTEDENCIA DEL SUBSIDIO FAMILIAR. (ID: GGTH-170)</t>
  </si>
  <si>
    <t>116-2025</t>
  </si>
  <si>
    <t>120-2025</t>
  </si>
  <si>
    <t>121-2025</t>
  </si>
  <si>
    <t>122-2025</t>
  </si>
  <si>
    <t>123-2025</t>
  </si>
  <si>
    <t>124-2025</t>
  </si>
  <si>
    <t>125-2025</t>
  </si>
  <si>
    <t>126-2025</t>
  </si>
  <si>
    <t>127-2025</t>
  </si>
  <si>
    <t>128-2025</t>
  </si>
  <si>
    <t>129-2025</t>
  </si>
  <si>
    <t>130-2025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</si>
  <si>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</si>
  <si>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</si>
  <si>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</si>
  <si>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</si>
  <si>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</si>
  <si>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</si>
  <si>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</si>
  <si>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</si>
  <si>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</si>
  <si>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</si>
  <si>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</si>
  <si>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</si>
  <si>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</si>
  <si>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</si>
  <si>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</si>
  <si>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</si>
  <si>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</si>
  <si>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</si>
  <si>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</si>
  <si>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151-2025</t>
  </si>
  <si>
    <t>152-2025</t>
  </si>
  <si>
    <t>153-2025</t>
  </si>
  <si>
    <t>154-2025</t>
  </si>
  <si>
    <t>155-2025</t>
  </si>
  <si>
    <t>156-2025</t>
  </si>
  <si>
    <t>157-2025</t>
  </si>
  <si>
    <t>158-2025</t>
  </si>
  <si>
    <t>159-2025</t>
  </si>
  <si>
    <t>160-2025</t>
  </si>
  <si>
    <t>161-2025</t>
  </si>
  <si>
    <t>162-2025</t>
  </si>
  <si>
    <t>163-2025</t>
  </si>
  <si>
    <t>164-2025</t>
  </si>
  <si>
    <t>165-2025</t>
  </si>
  <si>
    <t>166-2025</t>
  </si>
  <si>
    <t>167-2025</t>
  </si>
  <si>
    <t>168-2025</t>
  </si>
  <si>
    <t>169-2025</t>
  </si>
  <si>
    <t>170-2025</t>
  </si>
  <si>
    <t>171-2025</t>
  </si>
  <si>
    <t>172-2025</t>
  </si>
  <si>
    <t>173-2025</t>
  </si>
  <si>
    <t>174-2025</t>
  </si>
  <si>
    <t>175-2025</t>
  </si>
  <si>
    <t>176-2025</t>
  </si>
  <si>
    <t>177-2025</t>
  </si>
  <si>
    <t>178-2025</t>
  </si>
  <si>
    <t>179-2025</t>
  </si>
  <si>
    <t>180-2025</t>
  </si>
  <si>
    <t>181-2025</t>
  </si>
  <si>
    <t>182-2025</t>
  </si>
  <si>
    <t>183-2025</t>
  </si>
  <si>
    <t>184-2025</t>
  </si>
  <si>
    <t>185-2025</t>
  </si>
  <si>
    <t>186-2025</t>
  </si>
  <si>
    <t>187-2025</t>
  </si>
  <si>
    <t>188-2025</t>
  </si>
  <si>
    <t>189-2025</t>
  </si>
  <si>
    <t>ANGIE JULIETH AVELLANEDA ORIGUA</t>
  </si>
  <si>
    <t>ZULEINA MARIA OLIVELLA GOMEZ</t>
  </si>
  <si>
    <t>KAREN PAOLA GUTIERREZ ROCA</t>
  </si>
  <si>
    <t>WILLIAM ALEXIS ARENAS RIVERA</t>
  </si>
  <si>
    <t>JONATAN RIVERA VANEGAS</t>
  </si>
  <si>
    <t>MARBY LORENA FIGUEROA RUBIO</t>
  </si>
  <si>
    <t>MARTHA PATRICIA VARGAS MORENO</t>
  </si>
  <si>
    <t>JULITZA FLÓREZ IBARRA</t>
  </si>
  <si>
    <t>ANGÉLICA MARIA MADERO</t>
  </si>
  <si>
    <t>EMILCE CANO GÓMEZ</t>
  </si>
  <si>
    <t>KAREN YULIANA SALAZAR CAJAS</t>
  </si>
  <si>
    <t>(ID:DES-043) PRESTAR SERVICIOS PROFESIONALES ESPECIALIZADOS PARA EL ACOMPAÑAMIENTO JURIDICO EN LO QUE COMPETE A LAS FUNCIONES PROPIAS DEL DESPACHO DEL SUPERINTENDENTE DEL SUBSIDIO FAMILIAR.</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</si>
  <si>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CALIDAD.(ID: OPU-108)</t>
  </si>
  <si>
    <t>(ID: GGC-318) PRESTAR SERVICIOS PROFESIONALES PARA APOYAR EN EL GRUPO DE GESTIÓN CONTRACTUAL EN LOS ANÁLISIS DEL SECTOR Y DEL MERCADO ADEMÁS DE LAS EVALUACIONES REQUERIDAS DENTRO DE LOS PROCESOS CONTRACTUALES DE FORMA TRANSVERSAL EN LA SUPERINTENDENCIA DEL SUBSIDIO FAMILIAR.</t>
  </si>
  <si>
    <t>PRESTAR LOS SERVICIOS PROFESIONALES PARA APOYAR LA ACTUALIZACIÓN DE PROCESOS Y PROCEDIMIENTOS CORRESPONDIENTES AL GRUPO DE GESTIÓN DOCUMENTAL Y NOTIFICACIONES DE LA SUPERINTENDENCIA DE SUBSIDIO FAMILIAR. (Número: GGD-025)</t>
  </si>
  <si>
    <t>PRESTAR SERVICIOS PROFESIONALES PARA REALIZAR ACTIVIDADES RELACIONADAS CON LA SUSTANCIACIÓN Y DEMÁS ACTUACIONES ADMINISTRATIVAS Y/O JURÍDICAS QUE SE REQUIERAN EN EL MARCO DEL PROCESO DE CONTROL LEGAL Y VIGILANCIA A CAJAS DE COMPENSACIÓN FAMILIAR, EN EL MARCO DEL PROYECTO "MODERNIZACIÓN DE LA INSPECCIÓN, VIGILANCIA Y CONTROL DE LA SUPERINTENDENCIA DEL SUBSIDIO FAMILIAR (ID: SDRAME-059)</t>
  </si>
  <si>
    <t>(ID: GGC-323) PRESTAR SERVICIOS PROFESIONALES ESPECIALIZADOS EN MATERIA JURÍDICA AL GRUPO DE GESTIÓN CONTRACTUAL DE LA SUPERINTENDENCIA DEL SUBSIDIO FAMILIAR EN LA PROYECCIÓN DE DOCUMENTOS PREVIOS, ALISTAMIENTO DOCUMENTAL, PUBLICACIÓN DE LOS PROCESOS CONTRACTUALES EN LAS ETAPAS PRECONTRACTUAL, CONTRACTUAL Y POSTCONTRACTUAL.</t>
  </si>
  <si>
    <t>PRESTAR SERVICIOS PROFESIONALES PARA APOYAR LA GESTIÓN, LA ELABORACION Y APLICACIÓN DE LOS INSTRUMENTOS ARCHIVISTICOS. (ID: GGD-028)</t>
  </si>
  <si>
    <t>PRESTAR SERVICIOS PROFESIONALES A LA SDEEEP PARA REALIZAR EL SEGUIMIENTO Y CONTROL TÉCNICO A LOS PLANES, PROGRAMAS Y PROYECTOS DE INVERSIÓN PARA OBRAS O SERVICIOS PRESENTADOS SOCIALES A TRAVÉS DEL BANCO DE PROYECTOS DE INVERSIÓN DEL SUBSIDIO FAMILIAR. (ID: SDEEEP-242)</t>
  </si>
  <si>
    <t>PRESTAR SERVICIOS DE APOYO A LA GESTIÓN PARA BRINDAR INFORMACIÓN DEL SISTEMA DEL SUBSIDIO FAMILIAR A LOS GRUPO DE INTERÉS Y VALOR DE LA SUPERINTENDENCIA DE SUBSIDIO FAMILIAR A TRAVÉS DE LOS CANALES DISPUESTOS POR LA ENTIDAD. (Número: OPU - 104)</t>
  </si>
  <si>
    <t>PRESTAR LOS SERVICIOS PROFESIONALES ESPECIALIZADOS PARA APOYAR AL GGF, DE MANERA TRANSVERSAL E INTEGRAL BRINDANDO ACOMPAÑAMIENTO CON EL SOPORTE Y ORIENTACIÓN A TODOS LOS PROCESOS DONDE SE REQUIERA. (Número: GGF-129-1)</t>
  </si>
  <si>
    <t>GGC.ID GGC-324. PRESTAR SERVICIOS PROFESIONALES JURÍDICOS EN EL GRUPO DE GESTIÓN CONTRACTUAL DE LA SUPERINTENDENCIA DE SUBSIDIO FAMILIAR, BRINDANDO APOYO ADMINISTRATIVO EN PROCESOS DE BIENES Y SERVICIOS; APOYO INTEGRAL DESDE LA PLANEACIÓN, PROYECCIÓN DE DOCUMENTOS PREVIOS, ALISTAMIENTO DOCUMENTAL, PUBLICACIÓN DE LOS PROCESOS CONTRACTUALES BAJO MODALIDAD DE CONTRATACIÓN DIRECTA, QUE REQUIERA LA ENTIDAD EN LAS ETAPAS PRECONTRACTUAL, CONTRACTUAL Y POSTCONTRACTUAL.</t>
  </si>
  <si>
    <t>ISOLUCIÓN</t>
  </si>
  <si>
    <t>MARGARITA ROSA SIERRA ACOSTA</t>
  </si>
  <si>
    <t>JUSTINE KELLYS</t>
  </si>
  <si>
    <t>CLARA ISABEL ESPINOSA GONZALEZ</t>
  </si>
  <si>
    <t>CLAUDIA CAROLINA CASTRO RUBIO</t>
  </si>
  <si>
    <t>OSCAR JULIO CASTRILLON GARCIA</t>
  </si>
  <si>
    <t>MEGASOFT S.A.S.</t>
  </si>
  <si>
    <t>PAOLA ANDREA TAMAYO HABIB</t>
  </si>
  <si>
    <t>ANTONIO CARLOS MARTINEZ ARRAZOLA</t>
  </si>
  <si>
    <t>JHON KELIS ATENCIO ARIÑO</t>
  </si>
  <si>
    <t>OHN SEBASTIAN ALEMAN PEÑA</t>
  </si>
  <si>
    <t>WILLIAM JAVIER CELY RICO</t>
  </si>
  <si>
    <t>JULIO CESAR MORENO BERNAL</t>
  </si>
  <si>
    <t>RIGOBERTO DANIEL GONZALEZ RUEDA</t>
  </si>
  <si>
    <t>DANIEL RAMIRO MORENO LESMES</t>
  </si>
  <si>
    <t>MALYORIS LOPEZ RAMOS</t>
  </si>
  <si>
    <t>GUSTAVO ADOLFO PEREZ VESGA</t>
  </si>
  <si>
    <t>IVONNE ARELIS DIAZ RODRIGUEZ</t>
  </si>
  <si>
    <t>NURY NAVARRO HERNANDEZ</t>
  </si>
  <si>
    <t>Comunicación Celular S.A Comcel</t>
  </si>
  <si>
    <t>S.A</t>
  </si>
  <si>
    <t>JULIO CESAR OSORIO MENDOZA</t>
  </si>
  <si>
    <t>PAOLA ALEXANDRA IBARRA</t>
  </si>
  <si>
    <t>KEIDER DANIEL RUIZ TORRES</t>
  </si>
  <si>
    <t>NELSON MIGUEL AMAYA PINTO</t>
  </si>
  <si>
    <t>ARIA PSW S.A.S.</t>
  </si>
  <si>
    <t>CAROLINA REYES GIRALDO</t>
  </si>
  <si>
    <t>UNIÓN TEMPORAL EASYCLEAN ASEO PROFESIONAL</t>
  </si>
  <si>
    <t>NEFOX SAS</t>
  </si>
  <si>
    <t>VALENTINA ARIZA CRUZ</t>
  </si>
  <si>
    <t>AUTO INVERSIONES COLOMBIA SA</t>
  </si>
  <si>
    <t>BLANCA LUCÍA SÁNCHEZ TORRES</t>
  </si>
  <si>
    <t>JOSE ELIAS BONILLA YUNDA</t>
  </si>
  <si>
    <t>MANUEL ENRIQUE RODRIGUEZ PEREZ</t>
  </si>
  <si>
    <t>JHONATAN PORTILLA PORTILLA</t>
  </si>
  <si>
    <t>JULIÁN BERNARDO SALINAS DIAZ</t>
  </si>
  <si>
    <t>DANY STEVEN RAMÍREZ LÓPEZ</t>
  </si>
  <si>
    <t>SANDRA MIREYA HINCAPIÉ JIMÉNEZ</t>
  </si>
  <si>
    <t>SERGIO FELIPE SALAMANCA BORRERO</t>
  </si>
  <si>
    <t>GUILLERMO JOSÉ LUIZ AZAR BUILES</t>
  </si>
  <si>
    <t>ÁNGELA MARÍA ORTIZ VILLALBA</t>
  </si>
  <si>
    <t>MARÍA FERNANDA VARGAS PATIÑO</t>
  </si>
  <si>
    <t>CRISTIAN YANARDY RUIZ LEÓN</t>
  </si>
  <si>
    <t>LAURA ALEJANDRA DUQUE HERNÁNDEZ</t>
  </si>
  <si>
    <t>CRISTIAN FRANCISCO SERRATO DEL RIO</t>
  </si>
  <si>
    <t>JOSÉ DE FALCO AVILA MARTÍNEZ</t>
  </si>
  <si>
    <t>JULIANA ASTORQUIZA ANDRADE</t>
  </si>
  <si>
    <t>ALBERT FERNEY GIRALDO VARON</t>
  </si>
  <si>
    <t>GIOVANNY RINCON QUINTERO</t>
  </si>
  <si>
    <t>MARIA FERNANDA NAVARRO ROSAS</t>
  </si>
  <si>
    <t>CESAR HERRERA DIAZ</t>
  </si>
  <si>
    <t>CAMILO ESTEBAN GOMEZ URREA</t>
  </si>
  <si>
    <t>INGRY YULIED PEREA BORRERO</t>
  </si>
  <si>
    <t>EVELIN VANESSA MONTES TAMARA</t>
  </si>
  <si>
    <t>-</t>
  </si>
  <si>
    <t>CONTRATAR LA RENOVACIÓN, ACTUALIZACIÓN, SOPORTE, MANTENIMIENTO Y CAPACITACIÓN DEL APLICATIVO DOCUMENTAL ISOLUCION EN LA SUPERINTENDENCIA DEL SUBSIDIO FAMILIAR (ID: OAP-098)</t>
  </si>
  <si>
    <t>(ID: SDEEEP-262) PRESTAR SERVICIOS PROFESIONALES A LA SDEEEP COMO FACILITADOR PARA FOMENTO DE LA COLABORACIÓN Y LA CREATIVIDAD EN LA RED NOVABOX DEL LABORATORIO DE INNOVACIÓN DEL SUBSIDIO FAMILIAR.</t>
  </si>
  <si>
    <t>PRESTAR SERVICIOS DE APOYO A LA GESTIÓN EN EL GRUPO DE GESTIÓN CONTRACTUAL DE LA SUPERINTENDENCIA DEL SUBSIDIO FAMILIAR, REALIZANDO ACOMPAÑAMIENTO EN EL INICIO DE EJECUCIÓN Y SEGUIMIENTO DE LOS PROCESOS CONTRACTUALES, ASÍ COMO LA PROYECCIÓN Y SEGUIMIENTO A LOS INFORMES REQUIERAN LAS SOLICITUDES INTERNAS O EXTERNAS INCLUIDOS LOS ENTES DE CONTROL, Y DEMÁS TRÁMITES NECESARIOS PARA LA DEBIDA GESTIÓN. (ID: GGC-325)</t>
  </si>
  <si>
    <t>PRESTAR SERVICIOS PROFESIONALES PARA APOYAR EL CONTROL Y SEGUIMIENTO AL PRESUPUESTO DE PROYECTOS, SEGUIMIENTO DE INVERSIONES, SEGUIMIENTO DE RECURSOS, GESTIÓN DEL PRESUPUESTO Y/ O GESTIÓN DE INVERSIONES DE PROYECTOS DE INFRAESTRUCTURA SOCIAL PRESENTADOS POR LAS CAJA DE COMPENSACIÓN FAMILIAR A LA SUPERINTENDENCIA DELEGADA PARA ESTUDIOS ESPECIALES Y LA EVALUACION DE PROYECTOS</t>
  </si>
  <si>
    <t>PRESTAR LOS SERVICIOS PROFESIONALES BRINDANDO APOYO EN TEMAS RELACIONADOS CON LOS TRÁMITES INTERNOS DEL GGF, DESARROLLANDO OPERACIONES CONTABLES, PRESUPUESTALES Y DE PAGADURIA, ACOGIENDOSE A LOS PROCEDIMIENTOS Y OBJETIVOS INSTITUCIONALES DE LA SSF. (ID: GGF-130-1)</t>
  </si>
  <si>
    <t>(ID: SDRAME-056) PRESTAR SERVICIOS PROFESIONALES PARA EL ANÁLISIS JURÍDICO, REVISIÓN Y SUSTANCIACIÓN DE TRÁMITES Y ASUNTOS PROPIOS DE LA DELEGADA PARA LA RESPONSABILIDAD ADMINISTRATIVA Y LAS MEDIDAS ESPECIALES, EN EL MARCO DEL PROYECTO DE INVERSIÓN "MODERNIZACIÓN DE LA INSPECCIÓN, VIGILANCIA Y CONTROL DE LA SUPERINTENDENCIA DEL SUBSIDIO FAMILIAR.</t>
  </si>
  <si>
    <t>PRESTAR SERVICIOS PROFESIONALES COMO DESARROLLADOR PARA EL PROCESO DE AUTOMATIZACIONES DE LA PLATAFORMA DE GESTIÓN INSTITUCIONAL DE LA SUPERINTENDENCIA DEL SUBSIDIO FAMILIAR. ID:OTIC-220</t>
  </si>
  <si>
    <t>RENOVACION DEL SOPORTE, MANTENIMIENTO Y ACTUALIZACIÓN DEL LICENCIAMIENTO DEL SOFTWARE NEON - APLICATIVO DE ALMACÉN E INVENTARIO. (ID: GGA-007)</t>
  </si>
  <si>
    <t>PRESTAR SERVICIOS PROFESIONALES PARA APOYAR LA VERIFICACIÓN DEL CUMPLIMIENTO DE LAS DISPOSICIONES DEL SISTEMA DEL SUBSIDIO FAMILIAR EN LA INFRAESTRUCTURA DESTINADA A LA PRESTACIÓN DE LOS SERVICIOS SOCIALES DE LAS CAJAS DE COMPENSACIÓN FAMILIAR. (ID: SDG-284)</t>
  </si>
  <si>
    <t>PRESTAR LOS SERVICIOS PROFESIONALES PARA APOYAR EL ANALISIS DEL SISTEMA DE GESTIÓN DE RIESGO DE ALERTAS TEMPRANAS, EN EL MARCO DE IVC EJERCIDA DESDE LA SUPERINTENDENCIA DELEGADA PARA LA GESTIÓN A LOS ENTES VIGILADOS. (ID: SDG-290)</t>
  </si>
  <si>
    <t>PRESTAR SERVICIOS PROFESIONALES A LA SDEEEP PARA APOYO Y SEGUIMIENTO DE LOS PLANES, PROGRAMAS Y PROYECTOS DE INVERSIÓN PARA OBRAS O SERVICIOS.</t>
  </si>
  <si>
    <t>PRESTAR SEVICIOS PROFESIONALES ESPECIALIZADOS PARA APOYAR, ORIENTAR, REALIZAR INTEGRALMENTE LA GESTIÓN FINANCIERA, PRESUPUESTAL Y CONTABLE, ASÍ COMO REALIZAR LAS RESPUESTAS E INFORMES INTERNOS Y EXTERNOS QUE REQUIERA EL GGF. (ID: GGF-315)</t>
  </si>
  <si>
    <t>PRESTAR SERVICIOS PROFESIONALES PARA ADELANTAR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SDRAME-068)</t>
  </si>
  <si>
    <t>PRESTAR SERVICIOS PROFESIONALES PARA APOYAR LA EVALUACIÓN FINANCIERA Y CONTABLE DEL IMPACTO DE LA EJECUCIÓN DE LOS FONDOS DE LEY ADMINISTRADOS POR LAS CAJAS DE COMPENSACIÓN FAMILIAR. (ID: SDG-275).</t>
  </si>
  <si>
    <t>PRESTAR LOS SERVICIOS PROFESIONALES PARA APOYAR EL COMPONENTE FINANCIERO Y CONTABLE SOBRE LA GESTIÓN DE LAS CAJAS DE COMPENSACIÓN FAMILIAR, CONFORME A LA MODERNIZACIÓN DE IVC DE LA SUPERINTENDENCIA DEL SUBSIDIO FAMILIAR AL INTERIOR DE LA SUPERINTENDENCIA DELEGADA PARA LA GESTIÓN. (ID: SDG-292).</t>
  </si>
  <si>
    <t>PRESTAR SERVICIOS PROFESIONALES COMO DESARROLLADOR FRONT END CON EL FIN DE REALIZAR LA OPTIMIZACIÓN DE LA COMUNICACIÓN VISUAL, EXPERIENCIA DE USUARIO E INTERFAZ GRAFICA DE LA SEDE ELECTRÓNICA E INTRANET DE LA ENTIDAD. (ID: OTIC-326)</t>
  </si>
  <si>
    <t>PRESTAR SERVICIOS PROFESIONALES COMO APOYO PARA LA IMPLEMENTACIÓN DEL MODELO INTEGRADO DE PLANEACIÓN Y GESTIÓN [MIPG] EN LA OFICINA DE PROTECCIÓN AL USUARIO. (ID: OPU-128)</t>
  </si>
  <si>
    <t>PRESTAR SERVICIOS PROFESIONALES A LA SDEEEP PARA APOYAR EL DESARROLLO DE INSTRUMENTOS METODOLÓGICOS QUE CONTRIBUYAN CON EL SEGUIMIENTO Y CONTROL TÉCNICO A LOS PLANES, PROGRAMAS Y PROYECTOS DE INVERSIÓN PARA OBRAS O SERVICIOS SOCIALES PRESENTADOS A TRAVÉS DEL BANCO DE PROYECTOS DE INVERSIÓN DEL SUBSIDIO FAMILIAR. (ID: SDEEEP-251)</t>
  </si>
  <si>
    <t>PRESTAR SERVICIOS PROFESIONALES A LA SDEEEP PARA REALIZAR SEGUIMIENTO Y CONTROL A LOS PLANES, PROGRAMAS Y PROYECTOS DE INVERSIÓN PARA OBRAS O SERVICIOS SOCIALES PRESENTADOS A TRAVÉS DEL BANCO DE PROYECTOS DE INVERSIÓN DEL SUBSIDIO FAMILIAR. ID-241.</t>
  </si>
  <si>
    <t>PRESTAR SERVICIOS PROFESIONALES A LA SDEEEP PARA APOYAR EL DESARROLLO DE INSTRUMENTOS METODOLÓGICOS QUE CONTRIBUYAN CON EL SEGUIMIENTO Y CONTROL TÉCNICO A LOS PLANES, PROGRAMAS Y PROYECTOS DE INVERSIÓN PARA OBRAS O SERVICIOS SOCIALES PRESENTADOS A TRAVÉS DEL BANCO DE PROYECTOS DE INVERSIÓN DEL SUBSIDIO FAMILIAR. (ID: SDEEEP-249).</t>
  </si>
  <si>
    <t>PRESTAR SERVICIOS PROFESIONALES AL GRUPO DE GESTION DE TALENTO HUMANO CON EL FIN DE HACER ACOMPAÑAMIENTO EN EL SEGUIMIENTO A LA POLITICA DE GESTION DEL CONOCIMIENTO [MIPG] DE LA SSF.(ID: GGTH-162)</t>
  </si>
  <si>
    <t>PRESTAR SERVICIOS DE NUBE PRIVADA DE LA INFRAESTRUCTURA TECNOLÓGICA (ID: OTIC – 222).</t>
  </si>
  <si>
    <t>PRESTAR SERVICIOS PROFESIONALES EN LAS ACTIVIDADES DE LA DELEGADA DE ESTUDIOS ESPECIALES Y EVALUACIÓN DE PROYECTOS EN EL ESTUDIO DE PROSPECTIVO - CREDITO SOCIAL PRESTADOS POR LAS CCF. (ID: SDEEEP-308)</t>
  </si>
  <si>
    <t>PRESTAR SERVICIOS PROFESIONALES A LA SDEEEP PARA BRINDAR APOYO A LOS COMPONENTES FINANCIEROS Y TÉCNICOS DE LAS ACCIONES, LINEAMIENTOS O ESTRATEGIAS DEL SISTEMA DEL SUBSIDIO FAMILIAR EN EL MARCO DEL FORTALECIMIENTO DEL BANCO DE PROYECTOS. (ID SDEEEP244)</t>
  </si>
  <si>
    <t>PRESTAR SERVICIOS PROFESIONALES EN LA SUPERINTENDENCIA DELEGADA PARA ESTUDIOS ESPECIALES Y EVALUACIÓN DE PROYECTOS EN LAS ACTIVIDADES RELACIONADAS CON LA PLANEACIÓN, SEGUIMIENTO, GESTIÓN ADMINISTRATIVA Y FINANCIERA DE PRESUPUESTOS DE PROYECTOS DE INFRAESTRUCTURA SOCIAL ID-243.</t>
  </si>
  <si>
    <t>PRESTAR LOS SERVICIOS PROFESIONALES PARA APOYAR LA EJECUCIÓN DE ACTIVIDADES JURIDICAS PROPIAS DE LA OFICINA ASESORA JURIDICA DE LA SUPERINTENDENCIA DEL SUBSIDIO FAMILIAR. (ID: OAJ-317)</t>
  </si>
  <si>
    <t>PRESTAR LOS SERVICIOS DE REGISTRO Y ACTUALIZACIÓN DEL VERSIONAMIENTO DEL LICENCIAMIENTO LIFERAY. (ID: OTIC-236)</t>
  </si>
  <si>
    <t>(ID: SDEEEP-263) PRESTAR SERVICIOS PROFESIONALES A LA SDEEEP PARA APOYAR LOS PROCESOS DEL LABORATORIO DE INNOVACIÓN DEL SUBSIDIO FAMILIAR QUE PERMITA LA PROMOCIÓN DE LA CULTURA Y FOMENTO A LA INNOVACIÓN.</t>
  </si>
  <si>
    <t>GGA- ID-001-PRESTAR EL SERVICIO INTEGRAL DE ASEO Y CAFETERÍA INCLUIDOS LOS SUMINISTROS REQUERIDOS EN LA SUPERINTENDENCIA DEL SUBSIDIO FAMILIAR</t>
  </si>
  <si>
    <t>PRESTAR EL SERVICIO DE ACCESO Y USO DE LA PLATAFORMA DE RASTREO Y MONITOREO INCLUIDO EL ALQUILER DE CINCO (5) DISPOSITIVOS GPS PARA LA FLOTA VEHICULAR DE PROPIEDAD DE LA SUPERINTENDENCIA DEL SUBSIDIO FAMILIAR. (ID: GGA-011)</t>
  </si>
  <si>
    <t>SUMINISTRAR LA DOTACIÓN PARA LOS FUNCIONARIOS DE LA SUPERINTENDENCIA DEL SUBSIDIO FAMILIAR QUE TIENEN DERECHO SEGÚN LO ESTABLECIDO EN LA LEY 70 DE 1988. (ID: GGTH-003)</t>
  </si>
  <si>
    <t>MANTENIMIENTO DE VEHICULOS PARA EL PARQUE AUTOMOTOR DE LA SUPERSUBSIDIO FAMILIAR - 2025</t>
  </si>
  <si>
    <t>PRESTACIÓN DE SERVICIOS PROFESIONALES PARA BRINDAR ACOMPAÑAMIENTO METODOLÓGICO EN LA FORMULACIÓN Y SEGUIMIENTO A LOS PROYECTOS DE INVERSIÓN DE LA SUPERINTENDENCIA DEL SUBSIDIO FAMILIAR. (ID: OAP-087-1)</t>
  </si>
  <si>
    <t>PRESTAR LOS SERVICIOS PROFESIONALES PARA APOYAR EL PROCESO DE CONSOLIDACIÓN Y REPORTE DE LA INFORMACIÓN REQUERIDA A LA OFICINA ASESORA JURIDICA. (ID: OAJ-138)</t>
  </si>
  <si>
    <t>PRESTAR LOS SERVICIOS PROFESIONALES PARA APOYAR EL ANÁLISIS Y CONTROL DE ASPECTOS ADMINISTRATIVOS Y FINANCIEROS DE LAS CAJAS DE COMPENSACIÓN FAMILIAR, BASADOS EN LA GENERACIÓN DE INDICADORES. (ID: SDG-297)</t>
  </si>
  <si>
    <t>PRESTAR SERVICIOS DE APOYO A LA GESTIÓN PARA EL SOPORTE DE SERVICIOS DE TI RELACIONADOS CON PERIFÉRICOS, HERRAMIENTAS DE OFIMÁTICA Y COMPONENTES TECNOLÓGICOS EN LA SUPERINTENDENCIA DEL SUBSIDIO FAMILIAR. (ID: OTIC-196)</t>
  </si>
  <si>
    <t>PRESTAR SERVICIOS PROFESIONALES PARA APOYAR LA IMPLEMENTACIÓN DE LA POLÍTICA DE GOBIERNO DIGITAL Y DE LA ESTRATEGIA DE USO Y APROPIACIÓN DE TI DE LA SUPERINTENDENCIA DEL SUBSIDIO FAMILIAR. (ID: OTIC-189)</t>
  </si>
  <si>
    <t>PRESTAR LOS SERVICIOS PROFESIONALES PARA BRINDAR APOYO EN EL DESARROLLO Y ACTUALIZACIÓN DEL SISTEMA DE RELATORIA Y LA DEFENSA JUDICIAL A CARGO DE LA OFICINA ASESORA JURÍDICA DE LA SUPERINTENDENCIA DEL SUBSIDIO FAMILIAR. (ID: OAJ-134).</t>
  </si>
  <si>
    <t>PRESTAR SERVICIOS PROFESIONALES PARA REALIZAR EL ACOMPAÑAMIENTO DE ACTIVIDADES RELACIONADAS CON EL MANEJO DEL SIIF NACIÓN, ANÁLISIS CONTABLES, FINANCIEROS E INFORMES QUE REQUIERA EL GRUPO DE GESTIÓN ADMINISTRATIVA DE LA SECRETARIA GENERAL DE LA SUPERINTENDENCIA DEL SUBSIDIO FAMILIAR. (ID: GGA-321)</t>
  </si>
  <si>
    <t>PRESTAR LOS SERVICIOS PROFESIONALES PARA APOYAR EL COMPONENTE JURÍDICO DE LA OFICINA DE CONTROL INTERNO DE LA SUPERINTENDENCIA DEL SUBSIDIO FAMILIAR, EN LA EJECUCIÓN DEL PLAN ANUAL DE AUDITORÍAS Y LA ELABORACIÓN Y SEGUIMIENTO DE INFORMES APROBADOS POR EL COMITÉ INSTITUCIONAL DE COORDINACIÓN DE CONTROL INTERNO. (ID: OCI-099).</t>
  </si>
  <si>
    <t>PRESTAR SERVICIOS PROFESIONALES PARA APOYAR EN LA APLICACIÓN DE DESCUENTOS A FAVOR DE TERCEROS Y/O LOS QUE PROVENGAN DE ORDENES JUDICIALES, ASÍ COMO, EN LA ELABORACIÓN DE ARCHIVOS PARA PAGO DE SEGURIDAD SOCIAL DERIVADOS DE LA NOMINA GENERAL Y DE LAS NOVEDADES CARGADAS QUE AFECTAN LA SEGURIDAD SOCIAL. (ID: GGTH-165)</t>
  </si>
  <si>
    <t>PRESTAR SERVICIOS DE APOYO A LA GESTIÓN AL GRUPO DE GESTIÓN CONTRACTUAL EN EL DESARROLLO DE ACTIVIDADES OPERATIVAS, CONTRACTUALES Y ADMINISTRATIVAS DE ACUERDO A LAS NECESIDADES DEL AREA. (ID: GGC-329).</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</si>
  <si>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SDRAME-071-1).</t>
  </si>
  <si>
    <t>PRESTAR SERVICIOS PROFESIONALES PARA APOYAR EL DESARROLLO DE SOLUCIONES ANALÍTICAS BASADAS EN DATOS ESTADÍSTICOS DE LA SUPERINTENDENCIA DEL SUBSIDIO FAMILIAR. (ID: OTIC-228)</t>
  </si>
  <si>
    <t>(ID: OTIC-235) PRESTAR SERVICIOS PROFESIONALES PARA BRINDAR APOYO EN LA IMPLEMENTACIÓN DE HERRAMIENTAS Y CURSOS DE ELEARNING PARA LA DIVULGACIÓN DE SERVICIOS DE LA ENTIDAD Y FAVORECER EL ACCESO Y EXPERIENCIA DE USUARIO DE LA SUPERINTENDENCIA DEL SUBSIDIO FAMILIAR.</t>
  </si>
  <si>
    <t>(ID: SDG-288). PRESTAR SERVICIOS DE APOYO A LA GESTIÓN MEDIANTE EL DESARROLLO DE ACTIVIDADES ADMINISTRATIVAS Y OPERATIVAS, ORIENTADAS A APOYAR LOS PROCESOS MISIONALES Y DE SOPORTE DE LA SUPERINTENDENCIA DELEGADA PARA LA GESTIÓN.</t>
  </si>
  <si>
    <t>(ID: SDG-303). PRESTAR LOS SERVICIOS PROFESIONALES PARA ACOMPAÑAR LAS ACTIVIDADES RELACIONADAS CON IVC QUE REALIZA LA SUPERINTENDENCIA DE SUBSIDIO FAMILIAR A LAS CAJAS DE COMPENSACIÓN FAMILIAR, A TRAVÉS DE LA DELEGADA PARA LA GESTIÓN EN EL MARCO DE LA MODERNIZACIÓN DE IVC DE LA SUPERINTENDENCIA DEL SUBSIDIO FAMILIAR.</t>
  </si>
  <si>
    <t>PRESTAR SERVICIOS PROFESIONALES A LA SDEEEP PARA APOYAR EL ANÁLISIS DE DATOS, VALIDACIÓN Y CRITICA DE LA INFORMACIÓN REPORTADA POR LAS CAJAS DE COMPENSACIÓN FAMILIAR. (ID: SDEEEP-252)</t>
  </si>
  <si>
    <t>PRESTAR SERVICIOS PROFESIONALES EN EL ACOMPAÑAMIENTO JURÍDICO Y LEGAL EN LA REVISIÓN DE LOS MODELOS Y PRODUCTOS DE LA MODERNIZACIÓN DE IVC DE LA SUPERINTENDENCIA DEL SUBSIDIO FAMILIAR. (ID: SDG-293)</t>
  </si>
  <si>
    <t>PRESTAR SERVICIOS PROFESIONALES PARA APOYAR EL ANÁLISIS Y SEGUIMIENTO CONTABLE SOBRE LAS COMPETENCIAS PROPIAS DEL DESPACHO DE LA SUPERINTENDENCIA DEL SUBSIDIO FAMILIAR. (ID: DES-042)</t>
  </si>
  <si>
    <t>(ID: OTIC-327) PRESTAR SERVICIOS PROFESIONALES PARA DESARROLLAR, ACTUALIZAR Y CORREGIR ERRORES EN LA SEDE ELECTRÓNICA E INTRANET, ASEGURANDO SU CORRECTO FUNCIONAMIENTO Y COMPATIBILIDAD CON LOS ESTÁNDARES DE SEGURIDAD Y TECNOLOGÍA DE LA ENTIDAD.</t>
  </si>
  <si>
    <t>ID DES-039 PRESTAR SERVICIOS PROFESIONALES AL DESPACHO DEL SUPERINTENDENTE DEL SUBSIDIO FAMILIAR PARA REALIZAR ANÁLISIS Y DOCUMENTOS JURÍDICOS EN EL MARCO DEL PROCESO DE MEJORA NORMATIVA DEL SISTEMA DEL SUBSIDIO FAMILIAR.</t>
  </si>
  <si>
    <t>PRESTAR SERVICIOS PROFESIONALES PARA REALIZAR LA REVISIÓN DE LAS ACTUACIONES ADMINISTRATIVAS Y ADELANTAMIENTO DE TRÁMITES PROPIOS, REQUERIDOS EN LA SUPERINTENDENCIA DELEGADA PARA LA RESPONSABILIDAD ADMINISTRATIVA Y LAS MEDIDAS ESPECIALES, EN LO RELACIONADO CON PROGRAMAS DE SALUD, EN EL MARCO DEL PROYECTO "MODERNIZACIÓN DE LA INSPECCIÓN, VIGILANCIA Y CONTROL DE LA SUPERINTENDENCIA DEL SUBSIDIO FAMILIAR" (ID: SDRAME-080).</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</si>
  <si>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SDRAME-048-1)</t>
  </si>
  <si>
    <t>PRESTAR SERVICIOS DE APOYO A LA GESTIÓN PARA EL SOPORTE DE SERVICIOS DE TI RELACIONADOS CON PERIFÉRICOS, HERRAMIENTAS DE OFIMÁTICA Y COMPONENTES TECNOLÓGICOS EN LA SUPERINTENDENCIA DEL SUBSIDIO FAMILIAR. (ID: OTIC-194)</t>
  </si>
  <si>
    <t>PRESTAR LOS SERVICIOS PROFESIONALES PARA APOYAR LA GESTIÓN DE LA OFICINA ASESORA JURÍDICA EN LAS DENUNCIAS INSTAURADAS ANTE LA FISCALIA GENERAL DE LA NACIÓN Y DEMÁS ORGANOS DE CONTROL, AL IGUAL QUE LAS DEMÁS ACCIONES MISIONALES DEL ÁREA. (ID: OAJ-137)</t>
  </si>
  <si>
    <t>PRESTAR LOS SERVICIOS PROFESIONALES PARA APOYAR LAS ACTIVIDADES LEGALES DE IVC DE LOS SERVICIOS, PROGRAMAS SOCIALES Y OPERACIONES QUE PRESTAN LAS CAJAS DE COMPENSACIÓN FAMILIAR. (ID: SDG-268)</t>
  </si>
  <si>
    <t>PRESTAR SERVICIOS PROFESIONALES PARA ADELANTAR LOS TRÁMITES JURÍDICOS DE LA DELEGADA PARA LA RESPONSABILIDAD ADMINISTRATIVA Y LAS MEDIDAS ESPECIALES, ASI COMO LOS TRÁMITES CONTRACTUALES REQUERIDOS EN EL MARCO DEL PROYECTO "MODERNIZACIÓN DE LA INSPECCIÓN, VIGILANCIA Y CONTROL DE LA SUPERINTENDENCIA DEL SUBSIDIO FAMILIAR. (ID: SDRAME-065)</t>
  </si>
  <si>
    <t>AGENCIA DE VIAJES Y TURISMO GOLDTOUR S.A.S</t>
  </si>
  <si>
    <t>435-2022</t>
  </si>
  <si>
    <t>381-2023</t>
  </si>
  <si>
    <t xml:space="preserve">	Adquirir el suministro de tiquetes aéreos a nivel nacional e internacional para los funcionarios y contratistas de la Superintendencia del Subsidio Familiar.</t>
  </si>
  <si>
    <t>TRANSPORTES CSC S.A.S- EN REORGANIZACION</t>
  </si>
  <si>
    <t>Contratar la prestación del servicio de transporte terrestre automotor especial para los funcionarios de la Superintendencia del Subsidio Familiar en la ciudad de Bogotá</t>
  </si>
  <si>
    <t xml:space="preserve">	PRESTAR SERVICIOS PROFESIONALES PARA ADELANTAR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SDRAME-061).</t>
  </si>
  <si>
    <t>PRESTAR SERVICIOS PROFESIONALES EN LA SDEEEP PARA EL ACOMPAÑAMIENTO EN EL DISEÑO, IMPLEMENTACIÓN Y GESTIÓN DE SISTEMAS PARA PROCESAR Y ANALIZAR DATOS REPORTADOS POR LAS CAJAS DE COMPENSACIÓN FAMILIAR. (ID: SDEEEP-253).</t>
  </si>
  <si>
    <t>ADQUIRIR SERVICIOS DE CENTRO DE CONTACTO BPO [BUSINESS PROCESS OUTSOURCING] PARA FORTALECER EL RELACIONAMIENTO CON LA CIUDADANÍA A TRAVÉS DE LOS CANALES DE ATENCIÓN DISPUESTOS POR LA SUPERINTENDENCIA DEL SUBSIDIO FAMILIAR. (ID: OPU-119)</t>
  </si>
  <si>
    <t>PRESTAR SERVICIOS DE APOYO A LA GESTIÓN A LA OFICINA ASESORA DE PLANEACIÓN EN ACTIVIDADES EN MATERIA PRECONTRACTUAL, GESTIÓN INSTITUCIONAL Y APOYO A LAS DIFERENTES ACTIVIDADES PROPIAS DEL ÁREA. (ID: OAP-322).</t>
  </si>
  <si>
    <t>(ID: SDEEEP-255). PRESTAR SERVICIOS PROFESIONALES A LA SDEEEP PARA APOYAR LA IMPLEMENTACIÓN, MANTENIMIENTO Y MEJORA DE LA NORMA TÉCNICA DE CALIDAD DEL PROCESO ESTADÍSTICO.</t>
  </si>
  <si>
    <t>PRESTAR SERVICIOS DE APOYO A LA SDEEEP PARA APOYAR EL RESPALDO EN EL CUMPLIMIENTO DE SUS FUNCIONES EN MATERIA DE SEGUIMIENTO DE LOS COMPONENTES ARQUITECTÓNICOS Y DE INFRAESTRUCTURA DE LOS PROYECTOS DE INVERSIÓN PRESENTADOS POR LAS CAJAS DE COMPENSACIÓN FAMILIAR. (ID: SDEEEP-247).</t>
  </si>
  <si>
    <t>PRESTAR SERVICIOS PROFESIONALES PARA APOYAR EL PROCESO DE ACTUALIZACIÓN Y MODERNIZACIÓN DEL REGISTRO Y CONTROL DE CAJAS DE COMPENSACION FAMILIAR A CARGO DE LA DELEGADA PARA LA RESPONSABILIDAD ADMINISTRATIVA Y LAS MEDIDAS ESPECIALES, EN EL MARCO DEL PROYECTO "MODERNIZACIÓN DE LA INSPECCIÓN, VIGILANCIA Y CONTROL DE LA SUPERINTENDENCIA DEL SUBSIDIO FAMILIAR. (ID: SDRAME-052)</t>
  </si>
  <si>
    <t>PRESTAR SERVICIOS PROFESIONALES A LA SECRETARIA GENERAL PARA APOYAR LOS ASUNTOS JURÍDICOS Y PROCEDIMIENTOS A CARGO DEL ÁREA. (ID: SG-084)</t>
  </si>
  <si>
    <t>PRESTAR SERVICIOS PROFESIONALES A LA SDEEEP PARA APOYO Y SEGUIMIENTO DE LOS PLANES, PROGRAMAS Y PROYECTOS DE INVERSIÓN PARA OBRAS O SERVICIOS SOCIALES PRESENTADOS A TRAVÉS DEL BANCO DE PROYECTOS DE INVERSIÓN DEL SUBSIDIO FAMILIAR. (ID: SDEEEP-245).</t>
  </si>
  <si>
    <t>PRESTAR SERVICIOS PROFESIONALES DE APOYO Y ACOMPAÑAMIENTO EN PROCESOS DE CONTRATACIÓN Y CONSULTAS JURÍDICAS RELACIONADAS CON PROYECTOS DE LA OFICINA TIC. (ID: OTIC-223).</t>
  </si>
  <si>
    <t>PRESTAR SERVICIOS DE APOYO A LA SDEEEP PARA APOYAR EL RESPALDO EN EL CUMPLIMIENTO DE SUS FUNCIONES EN MATERIA DE SEGUIMIENTO DE LOS COMPONENTES ARQUITECTÓNICOS Y DE INFRAESTRUCTURA DE LOS PROYECTOS DE INVERSIÓN PRESENTADOS POR LAS CAJAS DE COMPENSACIÓN FAMILIAR. (ID: SDEEEP-246)</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</si>
  <si>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SDRAME-073-1)</t>
  </si>
  <si>
    <t>PRESTAR SERVICIOS PROFESIONALES A LA SDEEEP PARA APOYAR LA CREACIÓN DE INTERFACES, DISEÑO DE PRODUCTOS O DISEÑO GRAFICO EN LA IMPLEMENTACIÓN DEL LABORATORIO DE INNOVACIÓN DEL SISTEMA DEL SUBSIDIO FAMILIAR. (ID: SDEEEP-261)</t>
  </si>
  <si>
    <t>"PRESTAR LOS SERVICIOS PROFESIONALES ESPECIALIZADOS PARA LA ACTUALIZACIÓN, ANÁLISIS Y PROPUESTA DEL DOCUMENTO TÉCNICO DEL REDISEÑO INSTITUCIONAL DE LA SUPERINTENDENCIA DEL SUBSIDIO FAMILIAR, ENCAMINADO A FORTALECER LA CAPACIDAD INSTITUCIONAL Y EL MODELO DE OPERACIÓN, EN CUMPLIMIENTO DE LA POLÍTICA DEL GOBIERNO NACIONAL EN CUANTO A LA FORMALIZACIÓN DE EMPLEOS, CONFORME A LOS LINEAMIENTOS EMITIDOS POR EL DEPARTAMENTO ADMINISTRATIVO DE LA FUNCIÓN PÚBLICA- DAFP. (ID: OAP-330)".</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</si>
  <si>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OAP-335)</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</si>
  <si>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OAP-334)</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</si>
  <si>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OAP-333)</t>
  </si>
  <si>
    <t>PRESTAR SERVICIOS PROFESIONALES ESPECIALIZADOS A LA SUPERINTENDENCIA DEL SUBSIDIO FAMILIAR PARA ACOMPAÑAR EN EL DESARROLLO DE LAS ACTIVIDADES NECESARIAS PARA EL ANÁLISIS Y PROPUESTA EN LA ESTRUCTURACIÓN DEL REDISEÑO INSTITUCIONAL; EN EL MARCO DEL MODELO INTEGRADO DE PLANEACIÓN Y GESTIÓN (MIPG). (ID: OAP-331)</t>
  </si>
  <si>
    <t>PRESTAR SERVICIOS JURÍDICOS A LA SUPERINTENDENCIA DEL SUBSIDIO FAMILIAR PARA APOYAR EN EL DESARROLLO DE LAS ACTIVIDADES NECESARIAS PARA EL ANÁLISIS Y PROPUESTA EN LA ESTRUCTURACIÓN DEL REDISEÑO INSTITUCIONAL; EN EL MARCO DEL MODELO INTEGRADO DEL PLANEACIÓN Y GESTIÓN (MIPG). (ID: GGTH-332)</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</si>
  <si>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SDRAME-049-1)</t>
  </si>
  <si>
    <t>PRESTAR SERVICIOS PROFESIONALES PARA APOYAR EN LOS PROCESOS JURÍDICOS, PRECONTRACTUALES, CONTRACTUALES Y POSCONTRACTUALES DEL GRUPO DE GESTIÓN ADMINISTRATIVA DE LA SECRETARIA GENERAL DE LA SUPERINTENDENCIA DEL SUBSIDIO FAMILIAR. (ID: GGA-015).</t>
  </si>
  <si>
    <t>PRESTAR SERVICIOS EN LA EJECUCIÓN DE LOS PROGRAMAS DE FORMACIÓN Y CAPACITACIÓN INSTITUCIONAL (PIFC) Y EL PLAN DE GESTION AMBIENTAL EN EL MARCO DE MIPG, PARA LOS SERVIDORES PÚBLICOS DE LA SUPERINTENDENCIA DEL SUBSIDIO FAMILIAR (ID: GGTH-173)</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</si>
  <si>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OAP-090-1).</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</si>
  <si>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OAP-092-1)</t>
  </si>
  <si>
    <t>PRESTAR SERVICIOS PROFESIONALES PARA REALIZAR EL ACOMPAÑAMIENTO EN LOS PROCESOS JURÍDICOS Y CONTRACTUALES DE LA SECRETARÍA GENERAL. (ID: SG-086).</t>
  </si>
  <si>
    <t>PRESTAR SERVICIOS PROFESIONALES JURÍDICOS PARA ADELANTAR ACTIVIDADES Y TRÁMITES ADMINISTRATIVOS A CARGO DE LA DELEGADA PARA LA RESPONSABILIDAD ADMINISTRATIVA YLAS MEDIDAS ESPECIALES EN RELACIÓN CON SU FUNCIÓN DE VIGILANCIA, EN EL MARCO DEL PROYECTO "MODERNIZACIÓN DE LA INSPECCIÓN, VIGILANCIA Y CONTROL DE LA SUPERINTENDENCIA DEL SUBSIDIO FAMILIAR". (ID: SDRAME-078).</t>
  </si>
  <si>
    <t>PRESTAR SERVICIOS PROFESIONALES JURÍDICOS QUE SE REQUIERAN EN EL MARCO DE LA FUNCIÓN DE VIGILANCIA Y CONTROL LEGAL REALIZADO POR LA SUPERINTENDENCIA DELEGADA PARA LA RESPONSABILIDAD ADMINISTRATIVA Y LAS MEDIDAS ESPECIALES, A LAS CAJAS DE COMPENSACIÓN FAMILIAR EN EL MARCO DEL PROYECTO "MODERNIZACIÓN DE LA INSPECCIÓN, VIGILANCIA Y CONTROL DE LA SUPERINTENDENCIA DEL SUBSIDIO FAMILIAR". (ID: SDRAME-076)</t>
  </si>
  <si>
    <t>(ID: SDRAME-337) PRESTAR SERVICIOS PROFESIONALES EN LA GESTIÓN DE TRÁMITES ADMINISTRATIVOS REQUERIDOS EN LA DELEGADA PARA LA RESPONSABILIDAD ADMINISTRATIVA Y LAS MEDIDAS ESPECIALES, EN EL MARCO PROYECTO" MODERNIZACIÓN DE LA INSPECCIÓN, VIGILANCIA Y CONTROL DE LA SUPERINTENDENCIA DEL SUBSIDIO FAMILIAR".</t>
  </si>
  <si>
    <t>PRESTAR LOS SERVICIOS PROFESIONALES PARA APOYAR EL DESARROLLO DE LA ACTIVIDAD DEL PROYECTO DE INVERSIÓN A CARGO DE LA OFICINA ASESORA JURÍDICA, ASÍ COMO LA GESTIÓN DE COBRO COACTIVO A CARGO DE LA SUPERINTENDENCIA DEL SUBSIDIO FAMILIAR. (ID: OAJ-135-1)</t>
  </si>
  <si>
    <t>(ID: OAJ-316) PRESTAR LOS SERVICIOS PROFESIONALES PARA A LA OFICINA ASESORA JURIDICA EN LO CORRESPONDIENTE ACCIONES JUDICIALES.</t>
  </si>
  <si>
    <t>PRESTAR SERVICIOS PROFESIONALES PARA BRINDAR APOYO AL GRUPO DE GESTIÓN DEL TALENTO HUMANO EN LAS ACTIVIDADES PROPIAS AL SEGUIMIENTO Y REALIZACIÓN DE LOS REPORTES RELACIONADOS CON LOS PLANES INSTITUCIONALES (ID: GGTH-155)</t>
  </si>
  <si>
    <t>(ID: GGTH-157) PRESTAR SERVICIOS DE APOYO A LA GESTION CON EL FIN DE DESARROLLAR ACTIVIDADES DE GESTIÓN DOCUMENTAL EN LA CONSOLIDACION DEL ARCHIVO DE HISTORIAS LABORALES A CARGO DEL GRUPO DE GESTIÓN DEL TALENTO HUMANO.</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</si>
  <si>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SDRAME-082-1)</t>
  </si>
  <si>
    <t>PRESTAR SERVICIOS PROFESIONALES PARA APOYAR LOS PROCESOS EDUCACIÓN INFORMAL A LOS GRUPOS DE VALOR Y DE INTERES DE LA SUPERINTENDENCIA DEL SUBSIDIO FAMILIAR PARA FORTALECER EL RELACIONAMIENTO CON LA CIUDADANÍA. ID: OPU-118</t>
  </si>
  <si>
    <t>PRESTAR SERVICIOS PROFESIONALES PARA ANALIZAR EN LOS PROCESOS DE AUDITORÍA LOS ASPECTOS CONTABLES, PRESUPUESTALES, FINANCIEROS YTRIBUTARIOS QUE SE REQUIERAN EN EL MARCO DEL CONTROL LEGAL REALIZADOPOR LA SUPERINTENDENCIA DELEGADA PARA LA RESPONSABILIDAD ADMINISTRATIVA Y LAS MEDIDAS ESPECIALES, A LAS CAJAS DE COMPENSACIÓN FAMILIAR CON MEDIDA CAUTELAR EN EL MARCO DEL PROYECTO" MODERNIZACIÓN DE LA INSPECCIÓN, VIGILANCIA Y CONTROL DE LA SUPERINTENDENCIA DEL SUBSIDIO FAMILIAR. ID: SDRAME-075</t>
  </si>
  <si>
    <t>PRESTAR SERVICIOS PROFESIONALES COMO DESARROLLADOR PARA EL PROCESO DE AUTOMATIZACIONES DE LA PLATAFORMA DE GESTIÓN INSTITUCIONAL - ID-OTIC-225</t>
  </si>
  <si>
    <t>PRESTAR SERVICIOS PROFESIONALES DE ACOMPAÑAMIENTO EN EL DISEÑO DE INTERFAZ Y EXPERIENCIA DE USUARIO [UI/UX] PARA LAS APLICACIONES DIGITALES Y SISTEMAS DE INFORMACIÓN DE LA SUPERINTENDENCIA DEL SUBSIDIO FAMILIAR. (ID: OPU-122)</t>
  </si>
  <si>
    <t>PRESTAR SERVICIOS PROFESIONALES PARA BRINDAR APOYO EN EL DESARROLLO BACKEND DE LOS CANALES DE LA SUPERSUBSIDIO, PARA LA OPTIMIZACIÓN, EL ALMACENAMIENTO [BASES DE DATOS], LA SEGURIDAD Y LA CONFIGURACIÓN E INTEGRACIÓN DE SERVICIOS INTERNOS Y EXTERNOS QUE CONSUMAN DICHOS CANALES. (ID: OPU-120)</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</si>
  <si>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SDRAME-051)</t>
  </si>
  <si>
    <t>PRESTAR SERVICIOS PROFESIONALES A LA OFICINA ASESORA DE PLANEACIÓN PARA BRINDAR ORIENTACIÓN EN LA FORMULACIÓN DEL ANTEPROYECTO DE PRESUPUESTO Y MGMP, ASÍ COMO PARA EFECTUAR LA FORMULACIÓN Y SEGUIMIENTO DE LOS PROYECTOS BPIN DE LA SUPERINTENDENCIA DEL SUBSIDIO FAMILIAR. (ID: OAP-088-1)</t>
  </si>
  <si>
    <t>PRESTAR SERVICIOS PROFESIONALES PARA EL ACOMPAÑAMIENTO EN EL DESARROLLO DE PRODUCTOS VISUALES NECESARIOS PARA LA APROPIADA DIVULGACIÓN DE LA INFORMACION RELACIONADA CON LAS ESTADISTICAS QUE REPORTAN LAS CAJA DE COMPENSACIÓN FAMILIAR A LA SUPERINTENDENCIA DELEGADA PARA ESTUDIOS ESPECIALES Y EVALUACIÓN DE PROYECTOS. (ID: SDEEEP-254).</t>
  </si>
  <si>
    <t>PRESTAR SERVICIOS PROFESIONALES PARA ADELANTAR ACTIVIDADES JURÍDICAS Y DE SUSTANCIACIÓN EN EL MARCO DE LAS AVERIGUACIONES PRELIMINARES Y PROCESOS ADMINISTRATIVOS SANCIONATORIOS A CARGO DE LA DELEGADA PARA LA RESPONSABILIDAD ADMINISTRATIVA Y LAS MEDIDAS ESPECIALES, EN EL MARCO DEL PROYECTO "MODERNIZACIÓN DE LA INSPECCIÓN, VIGILANCIA Y CONTROL DE LA SUPERINTENDENCIA DEL SUBSIDIO FAMILIAR. (ID: SDRAME-062).</t>
  </si>
  <si>
    <t>(ID: OPU-116-1). 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</si>
  <si>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SDRAME-054-1)</t>
  </si>
  <si>
    <t>PRESTAR SERVICIOS PROFESIONALES PARA REALIZAR ACTIVIDADES DE SUSTANCIACIÓN Y ADELANTAMIENTO DE ACTIVIDADES JURÍDICAS DENTRO DE LOS PROCESOS QUE REALIZA LA DELEGADA PARA LA RESPONSABILIDAD ADMINISTRATIVA Y LAS MEDIDAS ESPECIALES, EN EL MARCO DEL PROYECTO "MODERNIZACIÓN DE LA INSPECCIÓN, VIGILANCIA Y CONTROL DE LA SUPERINTENDENCIA DEL SUBSIDIO FAMILIAR. (ID: SDRAME-064).</t>
  </si>
  <si>
    <t>PRESTAR SERVICIOS PROFESIONALES A LA SDEEEP PARA APOYAR EL DISEÑO DE PROCESOS DE INNOVACIÓN, CONSTRUCCIÓN DE SISTEMAS DE INNOVACIÓN Y GENERACIÓN DE METODOLOGÍAS. (ID: SDEEEP-260)</t>
  </si>
  <si>
    <t>PRESTAR SERVICIOS PROFESIONALES JURIDICOS Y DE NOMINA EN EL GRUPO DE GESTIÓN DEL TALENTO HUMANO DE LA SUPERINTENDENCIA DEL SUBSIDIO FAMILIAR. (ID: GGTH-341)</t>
  </si>
  <si>
    <t>PRESTAR LOS SERVICIOS PROFESIONALES PARA APOYAR LAS ACTIVIDADES RELACIONADAS CON LA IVC DE LOS FONDOS DE LEY Y LOS PROYECTOS DE INVERSIÓN EJECUTADOS POR LAS CAJAS DE COMPENSACIÓN FAMILIAR. (ID: SDG-291-1)</t>
  </si>
  <si>
    <t>PRESTAR SERVICIOS DE APOYO A LA GESTIÓN PARA EL SOPORTE DE SERVICIOS DE TI RELACIONADOS CON PERIFÉRICOS, HERRAMIENTAS DE OFIMÁTICA Y COMPONENTES TECNOLÓGICOS EN LA SUPERINTENDENCIA DEL SUBSIDIO FAMILIAR. (ID: OTIC-197)</t>
  </si>
  <si>
    <t>PRESTAR SERVICIOS DE APOYO A LA GESTIÓN EN LA NOMINA DE LA SUPERINTENDENCIA DEL SUBSIDIO FAMILIAR. (ID: GGTH-340).</t>
  </si>
  <si>
    <t>(ID: SDEEEP-256). PRESTAR SERVICIOS PROFESIONALES A LA SDEEEP APOYANDO LA GESTIÓN, ANÁLISIS Y TRANSFORMACIÓN DE LOS DATOS REPORTADOS POR LAS CAJAS DE COMPENSACIÓN FAMILIAR.</t>
  </si>
  <si>
    <t>PRESTAR SERVICIOS PROFESIONALES PARA APOYAR AL GRUPO DE GESTIÓN DEL TALENTO HUMANO EN EL DESARROLLO DE LAS ACTIVIDADES DEL SG-SST. (ID: GGTH-167).</t>
  </si>
  <si>
    <t>PRESTAR EL SERVICIO DE MANTENIMIENTO PREVENTIVO Y CORRECTIVO PARA EL VEHICULO KIA RIO UB EX DE LA SUPERINTENDENCIA DE SUBSIDIO FAMILIAR. (ID: GGA-006)</t>
  </si>
  <si>
    <t>PRESTAR SERVICIOS PROFESIONALES PARA BRINDAR APOYO EN EL PROCESO DE GESTIÓN DE COBRO COACTIVO ADELANTADO POR PARTE DE LA OAJ, AL IGUAL QUE COLABORAR CON LAS ACCIONES JUDICIALES QUE REQUIERA LA SUPERSUBSIDIO (ID: OAJ-336)</t>
  </si>
  <si>
    <t>PRESTAR SERVICIOS PROFESIONALES PARA APOYAR LA GESTIÓN DE LOS DIFERENTES ELEMENTOS DE INFRAESTRUCTURA TECNOLÓGICA DE LA SUPERINTENDENCIA DEL SUBSIDIO FAMILIAR. (ID: OTIC-179-1)</t>
  </si>
  <si>
    <t>PRESTAR SERVICIOS PROFESIONALES PARA EL APOYO EN LA PLANEACIÓN, SEGUIMIENTO Y CONTROL DE LOS PROYECTOS DE DESARROLLO DE LOS SISTEMAS DE INFORMACIÓN DE LA SUPERINTENDENCIA DEL SUBSIDIO FAMILIAR. (ID: OTIC-175-1)</t>
  </si>
  <si>
    <t>PRESTAR SERVICIOS PROFESIONALES PARA ACOMPAÑAR LAS ACTIVIDADES DE IDENTIFICACIÓN E IMPLEMENTACIÓN DE MEJORAS DE PROCESOS Y CAPACIDADES INSTITUCIONALES DE LA ENTIDAD CON BASE EN EL MARCO DE LA ARQUITECTURA EMPRESARIAL. (ID: OAP-097)</t>
  </si>
  <si>
    <t>(ID: SDG-282-1) PRESTAR SERVICIOS PROFESIONALES PARA APOYAR EL SEGUIMIENTO A LAS CAJAS DE COMPENSACIÓN FAMILIAR, EN EL PROCESO DE IVC.</t>
  </si>
  <si>
    <t>PRESTAR SERVICIOS PROFESIONALES PARA REALIZAR ACTIVIDADES RELACIONADAS CON LA SUSTANCIACIÓN Y ANÁLISIS DE LAS ACTUACIONES JURÍDICAS QUE SE REQUIERAN EN EL MARCO DEL PROCESO DE CONTROL LEGAL A CAJAS DE COMPENSACIÓN FAMILIAR, EN EL MARCO DEL PROYECTO "MODERNIZACIÓN DE LA INSPECCIÓN, VIGILANCIA Y CONTROL DE LA SUPERINTENDENCIA DEL SUBSIDIO FAMILIAR. (ID: SDRAME-066).</t>
  </si>
  <si>
    <t>PRESTAR LOS SERVICIOS PROFESIONALES EN EL ACOMPAÑAMIENTO DE ASUNTOS JURÍDICOS PARA REALIZAR VALIDACIONES DE LA INFORMACIÓN DE LOS SERVICIOS, PROGRAMAS SOCIALES Y OPERACIONES QUE PRESTAN LAS CAJAS DE COMPENSACIÓN. (ID: SDG-274-1)</t>
  </si>
  <si>
    <t>(ID: GGTH-169) ADQUIRIR UN SOFTWARE DE NÓMINA PARA LA
SUPERINTENDENCIA DEL SUBSIDIO FAMILIAR.</t>
  </si>
  <si>
    <t xml:space="preserve">	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OTIC-186-1).</t>
  </si>
  <si>
    <t>PRESTAR SERVICIOS PROFESIONALES PARA APOYAR EL DISEÑO DE LOS PRODUCTOS COMUNICATIVOS INSTITUCIONALES Y LA ANIMACIÓN DE PIEZAS AUDIOVISUALES Y DIDÁCTICAS DE LA SUPERINTENDENCIA DEL SUBSIDIO FAMILIAR. (ID: COM-145)</t>
  </si>
  <si>
    <t>PRESTAR SERVICIOS PROFESIONALES PARA APOYAR LAS ACTIVIDADES DE GOBIERNO DEL SISTEMA DE INFORMACIÓN - SIMON DE LA SUPERINTENDENCIA DEL SUBSIDIO FAMILIAR.ID: (OTIC-192-1)</t>
  </si>
  <si>
    <t>PRESTAR LOS SERVICIOS PROFESIONALES PARA APOYAR EL DESARROLLO DE LA ACTIVIDAD DEL PROYECTO DE INVERSIÓN DE IVC A CARGO DE LA OFICINA ASESORA JURÍDICA, ASÍ COMO CON LA EJECUCIÓN DE LAS ACTIVIDADES JURIDICAS PROPIAS DEL ÁREA. (ID: OAJ-136-1)</t>
  </si>
  <si>
    <t>PRESTAR SERVICIOS PROFESIONALES PARA LLEVAR A CABO EL ANÁLISIS JURÍDICO, SUSTANCIACIÓN E IMPULSO DE ACTUACIONES ADMINISTRATIVAS RELACIONADAS CON LAS COMPETENCIAS DE LA DELEGADA PARA LA RESPONSABILIDAD ADMINISTRATIVA Y LAS MEDIDAS ESPECIALES, EN EL MARCO DEL PROYECTO DE INVERSIÓN "MODERNIZACIÓN DE LA INSPECCIÓN, VIGILANCIA Y CONTROL DE LA SUPERINTENDENCIA DEL SUBSIDIO FAMILIAR. (ID: SDRAME-057)</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</si>
  <si>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SDRAME-074)</t>
  </si>
  <si>
    <t>(ID: GGC-037) PRESTAR SERVICIOS PROFESIONALES PARA EL APOYO JURÍDICO DESDE LA PLANEACIÓN, PROYECCIÓN DE DOCUMENTOS PREVIOS, ALISTAMIENTO DOCUMENTAL, PUBLICACIÓN DE LOS DOCUMENTOS QUE REQUIERA LA ENTIDAD EN LAS ETAPAS PRECONTRACTUAL, CONTRACTUAL Y POSTCONTRACTUAL AL GRUPO DE GESTIÓN CONTRACTUAL EN LOS PROCESOS DE CONTRATACIÓN.</t>
  </si>
  <si>
    <t>PRESTAR SERVICIOS PROFESIONALES PARA APOYAR LA GESTION DE ACTUACIONES ADMINISTRATIVAS EN EL MARCO DE AVERIGUACIONES PRELIMINARES Y PROCESOS ADMINISTRATIVOS SANCIONATORIOS A CARGO DEL PROCESO DE CONTROL LEGAL DE LA SUPERINTENDENCIA DELEGADA PARA LAS MEDIDAS ESPECIALES Y LA RESPONSABILIDAD ADMINISTRATIVA, EN EL MARCO DEL PROYECTO "MODERNIZACIÓN DE LA INSPECCIÓN, VIGILANCIA Y CONTROL DE LA SUPERINTENDENCIA DEL SUBSIDIO FAMILIAR".(ID: SDRAME-069)</t>
  </si>
  <si>
    <t>PRESTAR SERVICIOS PROFESIONALES AL DESPACHO DEL SUPERINTENDENTE DEL SUBSIDIO FAMILIAR PARA APOYAR LAS ACTIVIDADES DE RECEPCIÓN, ANÁLISIS Y GESTIÓN DE DENUNCIAS POR ACTOS O RIESGOS DE CORRUPCIÓN. (ID: DES-047)</t>
  </si>
  <si>
    <t>PRESTAR LOS SERVICIOS PROFESIONALES PARA APOYAR LAS ACTIVIDADES JURÍDICAS EN EL PROCESO DE IVC QUE SE REALIZA A LAS CAJAS DE COMPENSACIÓN FAMILIAR DE ACUERDO A LAS COMPETENCIAS DE LA SUPERINTENDENCIA DELEGADA PARA LA GESTIÓN. (ID: SDG-267)</t>
  </si>
  <si>
    <t>PRESTAR SERVICIOS PROFESIONALES PARA APOYAR EL FORTALECIMIENTO DEL DESARROLLO DEL SISTEMA INTEGRADO DE ALERTAS TEMPRANAS EN LA SUPERINTENDENCIA DELEGADA PARA LA GESTIÓN, COMO HERRAMIENTA DE MODERNIZACIÓN DE LA IVC DE LA SUPERSUBSIDIO. (ID: SDG-301-1)</t>
  </si>
  <si>
    <t>PRESTAR LOS SERVICIOS PROFESIONALES PARA APOYAR LAS ACTIVIDADES LEGALES DE IVC DE LOS SERVICIOS, PROGRAMAS SOCIALES Y OPERACIONES QUE PRESTAN LAS CAJAS DE COMPENSACIÓN FAMILIAR. (ID: SDG-269)</t>
  </si>
  <si>
    <t>PRESTAR LOS SERVICIOS PROFESIONALES APOYANDO AL GRUPO DE GESTIÓN FINANCIERA EN LA REALIZACIÓN DE TRANSACCIONES EN EL SIIF NACIÓN Y LA CONCILIACIÓN DE INFORMACIÓN EN LOS DIFERENTES PERFILES QUE REQUIERA EL GRUPO. (ID: GGF-133)</t>
  </si>
  <si>
    <t>MARIA MONICA PORTACIO MARTINEZ</t>
  </si>
  <si>
    <t>WISTON JUNIOR LOPEZ NEGRETE</t>
  </si>
  <si>
    <t>OUTSOURCING SERVICIOS INFORMATICOS SAS BIC_x000D_</t>
  </si>
  <si>
    <t>LUZ HELENA LATORRE CUENCA</t>
  </si>
  <si>
    <t xml:space="preserve"> FRANCY MILENA MARTINEZ BASTO</t>
  </si>
  <si>
    <t>JUAN PABLO CAMACHO TORRES</t>
  </si>
  <si>
    <t>NELSON PLAZAS BETANCOURT</t>
  </si>
  <si>
    <t>MIRTA SANTAMARIA FAJARDO</t>
  </si>
  <si>
    <t>JUAN CAMILO VASQUEZ INFANTE</t>
  </si>
  <si>
    <t>DORIS CORTES GONZALEZ</t>
  </si>
  <si>
    <t>JOHAN MANUEL DAVILA HURTADO</t>
  </si>
  <si>
    <t>HEYSELL NAFASHA GARCIA AGUILAR</t>
  </si>
  <si>
    <t>BAHAMON ASESORES ASOCIADOS SAS</t>
  </si>
  <si>
    <t>JONATHAN LEONARDO GOMEZ CARDENAS</t>
  </si>
  <si>
    <t xml:space="preserve">LINDAY SASCHENKA BAHAMON </t>
  </si>
  <si>
    <t>LIZBETH GINEIDY CALDERON MIÑOZ</t>
  </si>
  <si>
    <t>NELLY QUINTANAJEREZ</t>
  </si>
  <si>
    <t>SANTAGO RESTREPO BAHAMON</t>
  </si>
  <si>
    <t>MIGUEL ANDERSON PUENTES</t>
  </si>
  <si>
    <t>MONICA ANDREA RAMIREZ ROMERO</t>
  </si>
  <si>
    <t>UNIVERSIDAD DISTRITAL DE COLOMBIA</t>
  </si>
  <si>
    <t xml:space="preserve">FREDY ORLANDO RODRIGUEZ JIMENEZ </t>
  </si>
  <si>
    <t>CLAUDIA PAOLA RIVERA MIÑOZ</t>
  </si>
  <si>
    <t>INGRID BIBIANA GARZON ROJAS</t>
  </si>
  <si>
    <t>CARLOS MARIO QUINTERO LOPEZ</t>
  </si>
  <si>
    <t xml:space="preserve">KAREN YULIETH BOHORQUEZ NIETO </t>
  </si>
  <si>
    <t>JORGE FELIPE ESCOBAR CASSIANI</t>
  </si>
  <si>
    <t>DIANA MILENA LOPEZ LOPEZ</t>
  </si>
  <si>
    <t>DANNY ALEXANDER GONZALEZ</t>
  </si>
  <si>
    <t xml:space="preserve">SILVIA CAMARO VELAZCO </t>
  </si>
  <si>
    <t>MICHAEL ANGEL SANCHEZ</t>
  </si>
  <si>
    <t>MARIA VICTORIA ROMERO SANCHEZ</t>
  </si>
  <si>
    <t>LUIS FERNANDO ROJAS TELLEZ</t>
  </si>
  <si>
    <t>CARLOS ARTURO JUNIOR RINCON AVILAN</t>
  </si>
  <si>
    <t>HENRY STEVEN GARZON CHIMBI</t>
  </si>
  <si>
    <t>RODRIGO ALFONSO ARIZA ORTIZ</t>
  </si>
  <si>
    <t>GABRIELA LARA CATÓLICO</t>
  </si>
  <si>
    <t>JUAN DAVID ESPITIA MORENO</t>
  </si>
  <si>
    <t>PEDRO LEONARDO PUMAREJO ROMERO</t>
  </si>
  <si>
    <t>CAMILO ENRIQUE AYALA RAMIREZ</t>
  </si>
  <si>
    <t>JUAN DAVID NIÑO</t>
  </si>
  <si>
    <t>LUCIA HERNANDEZ LAGOS</t>
  </si>
  <si>
    <t>DIEGO ANDRES MUNAR BACA</t>
  </si>
  <si>
    <t>MAURICIO ANDRES LOPEZ LOPEZ</t>
  </si>
  <si>
    <t>CAROL VANESSA AGUILAR BARRERA</t>
  </si>
  <si>
    <t>LUIS CARLOS CALIXTO RODRIGUEZ</t>
  </si>
  <si>
    <t>GENNY LIZZETH PAZ MOTTA</t>
  </si>
  <si>
    <t>CONTINENTAL DE PARTES Y SERVICIOS SAS</t>
  </si>
  <si>
    <t>MARIA ISABEL SALAZAR</t>
  </si>
  <si>
    <t>DIEGO ANDRES CABRERA MERCHAN</t>
  </si>
  <si>
    <t>MARIO FERNANDO GOMEZ OTALORA</t>
  </si>
  <si>
    <t>Novasoft SAS</t>
  </si>
  <si>
    <t>OLGA MILENA CARANTONIO MARQUEZ</t>
  </si>
  <si>
    <t xml:space="preserve"> DIANA VALENTINA GUZMAN DORADO</t>
  </si>
  <si>
    <t>JOSE JAIME ROYS TIRADO</t>
  </si>
  <si>
    <t>ANA MARIA TORRES CASTRO</t>
  </si>
  <si>
    <t>LURAMY VERONICA RAMIREZ</t>
  </si>
  <si>
    <t>YORGELIS MARIA SALAS OSPINO</t>
  </si>
  <si>
    <t>ALVARO JAVIER MOLINA DIAZ</t>
  </si>
  <si>
    <t>HENRRY DE JESUS RODRIGUEZ MARTINEZ</t>
  </si>
  <si>
    <t>JORGE NAIN RUIZ DITTA</t>
  </si>
  <si>
    <t xml:space="preserve"> VERONICA DURANA ANGEL</t>
  </si>
  <si>
    <t>PAULA VIVIANA SALINAS PAEZ</t>
  </si>
  <si>
    <t>CIRO ANDRES CAMPO CRUZ</t>
  </si>
  <si>
    <t>6 Pagos</t>
  </si>
  <si>
    <t>PRESTAR SERVICIOS PROFESIONALES PARA APOYAR LA GESTIÓN EN LA PLANEACIÓN, SEGUIMIENTO Y CONTROL DE LOS PROYECTOS ESTRATÉGICOS DE TECNOLOGÍA DE LA SUPERINTENDENCIA DEL SUBSIDIO FAMILIAR. (ID: OTIC-227-1)</t>
  </si>
  <si>
    <t>PRESTAR SERVICIOS PROFESIONALES A LA SDEEEP PARA APOYAR EL DESARROLLO DE INSTRUMENTOS METODOLÓGICOS QUE CONTRIBUYAN CON EL SEGUIMIENTO A LOS PLANES, PROGRAMAS Y PROYECTOS DE INVERSIÓN PARA OBRAS O SERVICIOS SOCIALES PRESENTADOS A TRAVÉS DEL BANCO DE PROYECTOS DE INVERSIÓN DEL SUBSIDIO FAMILIAR. (ID: SDEEEP-338)</t>
  </si>
  <si>
    <t>PRESTAR LOS SERVICIOS PROFESIONALES PARA APOYAR EL PROCESO DE IVC EN LOS ASPECTOS SERVICIOS SOCIALES QUE PRESTAN LAS CAJAS DE COMPENSACIÓN FAMILIAR DE ACUERDO A LO ESTABLECIDO EN LOS PLANES Y PROYECTOS ESTRATÉGICOS DE LA SUPERINTENDENCIA DELEGADA PARA LA GESTIÓN. (ID: SDG-304).</t>
  </si>
  <si>
    <t>SAMIA ISABEL JALAL LOPEZ</t>
  </si>
  <si>
    <t>PRESTAR SERVICIOS DE APOYO A LA GESTIÓN PARA LA ATENCIÓN DE INCIDENTES Y EVENTOS DEL SISTEMA DE INFORMACIÓN SIMON DE LA SUPERINTENDENCIA DEL SUBSIDIO FAMILIAR. (ID: OTIC-200-1).</t>
  </si>
  <si>
    <t>PRESTAR SERVICIOS DE APOYO A LA GESTIÓN PARA LA ATENCIÓN DE INCIDENTES Y EVENTOS DEL SISTEMA DE INFORMACIÓN SIMON DE LA SUPERINTENDENCIA DEL SUBSIDIO FAMILIAR. (ID: OTIC-193-1).</t>
  </si>
  <si>
    <t>GRUPO TIEDOT SAS</t>
  </si>
  <si>
    <t>Contratar la prestación del servicio de depósito, almacenamiento, custodia, conservación y préstamo del archivo de la superintendencia del subsidio familiar, incluido su transporte y consulta en caso de ser necesario.</t>
  </si>
  <si>
    <t>427-2022</t>
  </si>
  <si>
    <t>408-2022</t>
  </si>
  <si>
    <t>MENSAJERIA 472</t>
  </si>
  <si>
    <t>Prestar el servicio de correo urbano, nacional e internacional para la Superintendencia del Subsidio Familiar.</t>
  </si>
  <si>
    <t>PRESTAR SERVICIOS PROFESIONALES PARA APOYAR LA GESTIÓN DE LA INFRAESTRUCTURA TECNOLÓGICA DE LA ENTIDAD DISPUESTA EN NUBE PÚBLICA Y EN PRIVADA DE LA SUPERINTENDENCIA DEL SUBSIDIO FAMILIAR. (ID: OTIC-178-1).</t>
  </si>
  <si>
    <t>PRESTAR SERVICIOS DE APOYO A LA GESTIÓN DEL GRUPO DE GESTIÓN DEL TALENTO HUMANO EN LAS ACTIVIDADES SECRETARIALES Y DE FORTALECIMIENTO A LA GESTION DOCUMENTAL DE CONFORMIDAD CON LA NORMATIVIDAD VIGENTE (ID: TH 156).</t>
  </si>
  <si>
    <t>PRESTAR SERVICIOS PROFESIONALES PARA BRINDAR ACOMPAÑAMIENTO METODOLÓGICO EN LAS ACTIVIDADES RELACIONADAS CON EL COMPONENTE DE PARTICIPACIÓN CIUDADANA LIDERADOS POR LA OFICINA ASESORA DE PLANEACIÓN DE LA SUPERINTENDENCIA DEL SUBSIDIO FAMILIAR. (ID: OAP-218)</t>
  </si>
  <si>
    <t>(ID: SG-306) PRESTAR SERVICIOS PROFESIONALES PARA APOYAR LOS ASUNTOS DISCIPLINARIOS, ASÍ COMO PROYECCIÓN DE ACTOS ADMINISTRATIVOS Y OTROS A CARGO DEL GRUPO DE CONTROL DISCIPLINARIO INTERNO DE LA SUPERINTENDENCIA DEL SUBSIDIO FAMILIAR.</t>
  </si>
  <si>
    <t>PRESTAR LOS SERVICIOS PROFESIONALES PARA ADELANTAR EL SEGUIMIENTO Y CONTROL DEL PROCESO GESTIÓN DE SISTEMAS DE INFORMACIÓN; EN EL MARCO DEL SISTEMA DE GESTIÓN DE CALIDAD DE LA ENTIDAD, Y DE LOS PROYECTOS DE USO Y APROPIACIÓN (ID: OTIC-202).</t>
  </si>
  <si>
    <t>PRESTAR SERVICIOS PROFESIONALES A LA SDEEEP PARA APOYAR EL DISEÑO E IMPLEMENTACIÓN DEL LABORATORIO DE INNOVACIÓN DEL SISTEMA DEL SUBSIDIO FAMILIAR QUE PERMITA AUMENTAR EL DESARROLLO DE PROCESOS DE INNOVACIÓN APLICADOS AL MEJORAMIENTO DEL SISTEMA DEL SUBSIDIO FAMILIAR. (ID: SDEEEP-259).</t>
  </si>
  <si>
    <t>PRESTAR LOS SERVICIOS PROFESIONALES PARA APOYAR LA ELABORACIÓN DE INDICADORES FINANCIEROS QUE PERMITAN MODERNIZAR LA GESTIÓN DE IVC POR PARTE DE LA SUPERINTENDENCIA DELEGADA PARA LA GESTIÓN. (ID:SDG-298)</t>
  </si>
  <si>
    <t>PRESTAR EL SERVICIO DE RENOVACIÓN DE LICENCIAS DE MICROSTRATEGY, EL SOPORTE EN SITIO PARA ACTUALIZACIÓN DE REPORTES Y TABLEROS DE CONTROL EN LA PLATAFORMA (ID 264)</t>
  </si>
  <si>
    <t>PRESTAR SERVICIOS PROFESIONALES PARA APOYAR LAS ACTIVIDADES DE PLANEACIÓN ESTRATÉGICA DE LA ARQUITECTURA DE SISTEMAS DE INFORMACIÓN DE LA ENTIDAD DE LA SUPERINTENDENCIA DEL SUBSIDIO FAMILIAR. (ID: OTIC-231-1).</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</si>
  <si>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(ID: OCI-100-1).</t>
  </si>
  <si>
    <t>(ID: OCI-101-1) PRESTAR LOS SERVICIOS PROFESIONALES PARA APOYAR EL COMPONENTE DE GESTIÓN DE SISTEMAS DE INFORMACIÓN DE LA OFICINA DE CONTROL INTERNO DE LA SUPERINTENDENCIA DEL SUBSIDIO FAMILIAR, EN LA EJECUCIÓN DEL PLAN ANUAL DE AUDITORIAS Y LA ELABORACIÓN Y SEGUIMIENTO DE INFORMES APROBADOS POR EL COMITE INSTITUCIONAL DE COORDINACIÓN DE CONTROL INTERNO.</t>
  </si>
  <si>
    <t>PRESTAR SERVICIOS PROFESIONALES PARA BRINDAR ACOMPAÑAMIENTO EN EL ANÁLISIS, MODELAMIENTO Y DESARROLLO DE SOLUCIONES ANALÍTICAS EN LA SUPERINTENDENCIA DEL SUBSIDIO FAMILIAR. (ID: OTIC-177-1)</t>
  </si>
  <si>
    <t>PRESTAR LOS SERVICIOS PROFESIONALES EN EL PROCESO DE IVC QUE REALIZA LA SUPERINTENDENCIA DELEGADA PARA LA GESTIÓN EN LAS CAJAS DE COMPENSACIÓN FAMILIAR, EN EL MARCO DE LA MODERNIZACIÓN DE IVC DE LA SUPERINTENDENCIA DEL SUBSIDIO FAMILIAR. (ID: SDG-299)</t>
  </si>
  <si>
    <t>ADQUIRIR TÓNER DE IMPRESIÓN PARA LA SUPERINTENDENCIA DEL SUBSIDIO FAMILIAR. (ID: GGA-009)</t>
  </si>
  <si>
    <t>PRESTAR LOS SERVICIOS PROFESIONALES ESPECIALIZADOS A LA OFICINA ASESORA DE PLANEACIÓN EN LA ORIENTACIÓN Y EJECUCIÓN DE LAS ACTIVIDADES EN MATERIA PRECONTRACTUAL Y ACOMPAÑAR LA IMPLEMENTACIÓN DE LA DIMENSIÓN DE DIRECCIONAMIENTO ESTRATEGICO QUE GUIARÁ LA GESTIÓN DE LA ENTIDAD. (ID: OAP-094)</t>
  </si>
  <si>
    <t>PRESTAR SERVICIOS PROFESIONALES PARA APOYAR JURÍDICA Y CONTRACTUALMENTE A LA OFICINA DE PROTECCIÓN AL USUARIO DE LA SUPERINTENDENCIA DEL SUBSIDIO FAMILIAR. (ID: OPU-112)</t>
  </si>
  <si>
    <t>PRESTAR SERVICIOS PROFESIONALES PARA BRINDAR APOYO EN LAS ACTIVIDADES DE FORTALECIMIENTO DE LA POLÍTICA DE ATENCIÓN AL CIUDADANO CON BASE EN EL MODELO INTEGRADO DE PLANEACIÓN Y GESTIÓN [MIPG] DE LA SUPERINTENDENCIA DEL SUBSIDIO FAMILIAR. (ID: OPU-127).</t>
  </si>
  <si>
    <t>(ID: GGTH-344) PRESTAR SERVICIOS PROFESIONALES PARA COORDINAR Y APOYAR EN LA ALIMENTACIÓN DE LA INFORMACIÓN EN LA HERRAMIENTA DE NOMINA DE LA SUPERINTENDENCIA DEL SUBSIDIO FAMILIAR.</t>
  </si>
  <si>
    <t>PRESTAR SERVICIOS PROFESIONALES CON EL FIN DE BRINDAR APOYO AL GRUPO DE GESTIÓN DEL TALENTO HUMANO EN LA PROYECCIÓN Y LIQUIDACIÓN DE LA NÓMINA DE LA SUPERINTENDENCIA DEL SUBSIDIO FAMILIAR DE CONFORMIDAD CON LA NORMATIVIDAD LEGAL VIGENTE. (ID: GGTH-161-1).</t>
  </si>
  <si>
    <t>PRESTAR SERVICIOS PROFESIONALES COMO DESARROLLO DE SOFTWARE PARA LA ATENCIÓN DE EVENTOS DEL SISTEMA DE INFORMACIÓN SIMON (ID: OTIC-174-1).</t>
  </si>
  <si>
    <t>PRESTAR LOS SERVICIOS PROFESIONALES PARA APOYAR EN EL ANÁLISIS Y ATENCIÓN DE PROCESOS JUDICIALES Y DEL COMITÉ DE CONCILIACION Y DEFENSA JUDICIAL, ASÍ COMO EN LA ESTRUCTURACIÓN DE CONCEPTOS Y ACTUALIZACIÓN DE LA RELATORÍA JURÍDICA A CARGO DE LA OFICINA ASESORA JURÍDICA. (ID: OAJ-184)</t>
  </si>
  <si>
    <t>PRESTAR LOS SERVICIOS PROFESIONALES PARA BRINDAR APOYO EN LAS ACTIVIDADES DE PLANEACIÓN ESTRATÉGICA DE LA ARQUITECTURA DE INFORMACIÓN DE LA SUPERINTENDENCIA DEL SUBSIDIO FAMILIAR.ID: OTIC-203-1</t>
  </si>
  <si>
    <t>(ID: SDEEEP-248) PRESTAR SERVICIOS DE APOYO A LA GESTIÓN PARA LA EJECUCIÓN DE ACTIVIDADES ASISTENCIALES Y OPERATIVAS EN LA SDEEEP Y REALIZAR EL MANEJO Y CONTROL DE INFORMACIÓN EN LOS DIFERENTES SISTEMAS ELECTRONICOS DEL BANCO DE PROYECTO, RECOPILACIÓN Y ORGANIZACIÓN DE LA INFORMACIÓN Y GENERACIÓN DE LOS REPORTES REQUERIDOS AL AREA.</t>
  </si>
  <si>
    <t>PRESTAR SERVICIOS PROFESIONALES PARA APOYAR LA GESTIÓN DE BASES DE DATOS DE LOS SISTEMAS DE INFORMACIÓN DE LA SUPERINTENDENCIA DEL SUBSIDIO FAMILIAR (ID: OTIC-181-1).</t>
  </si>
  <si>
    <t>PRESTAR SERVICIOS PARA INCORPORAR LA AUTENTICIDAD ELECTRÓNICA EN COMUNICACIONES ENTRANTES Y SALIENTES DE LA ENTIDAD. (ID: OTIC-213)</t>
  </si>
  <si>
    <t>(ID: GGC-208) PRESTAR SERVICIOS PROFESIONALES JURÍDICOS PARA APOYAR AL GRUPO DE GESTIÓN CONTRACTUAL, EN LOS TRAMITES REQUERIDOS EN SUS ETAPAS PRECONTRACTUAL, CONTRACTUAL Y POSCONTRACTUAL, ADEMÁS DE LAS RESPUESTAS A LOS REQUERIMIENTOS QUE LLEGUEN LOS ENTES DE CONTROL INTERNOS Y EXTERNOS.</t>
  </si>
  <si>
    <t>PRESTAR SERVICIOS PROFESIONALES PARA ACOMPAÑAR EL FORTALECIMIENTO Y OPTIMIZACIÓN DE LOS PROCESOS DE GESTIÓN Y SEGUIMIENTO DE LOS RECURSOS ASIGNADOS A LOS FONDOS DE LEY ADMINISTRADOS POR LAS CAJAS DE COMPENSACIÓN FAMILIAR. (ID: SDG- 278)</t>
  </si>
  <si>
    <t>PRESTAR SERVICIOS PROFESIONALES PARA A POYAR EL ANÁLISIS, ESTRUCTURACIÓN Y DESARROLLO DE SOLUCIONES ANALÍTICAS BASADAS EN DATOS DE LA SUPERINTENDENCIA DEL SUBSIDIO FAMILIAR. (ID: OTIC-180-1).</t>
  </si>
  <si>
    <t>PRESTAR SERVICIOS PROFESIONALES COMO DESARROLLADOR PARA APOYAR LAS AUTOMATIZACIONES EN LA PLATAFORMA DE GESTIÓN DE PROCESOS BPM DE LA SUPERINTENDENCIA DEL SUBSIDIO FAMILIAR.ID: OTIC-182-1</t>
  </si>
  <si>
    <t>PRESTAR SERVICIOS PROFESIONALES PARA BRINDAR APOYO A LAS ACTIVIDADES DE PLANEACIÓN ESTRATÉGICA DE LA ARQUITECTURA, FORMULACIÓN DEL PETI Y LA ESTRUCTURACIÓN Y DESARROLLO DE LOS EJERCICIOS DE ARQUITECTURA EMPRESARIAL DE LA SUBSIDIO FAMILIAR. (ID: OTIC-229-1)</t>
  </si>
  <si>
    <t>CONTRATAR LOS SERVICIOS PROFESIONALES PARA APOYAR ACTIVIDADES DE PLANEACIÓN, SEGUIMIENTO Y CONTROL A LOS PROYECTOS DE INFRAESTRUCTURA TECNOLÓGICA Y SEGURIDAD DE LA INFORMACIÓN. (ID: OTIC-350)</t>
  </si>
  <si>
    <t>PRESTAR SERVICIOS PROFESIONALES BRINDANDO SOPORTE Y ACOMPAÑAMIENTO AL PROCESO INTEGRAL DE PAGOS, REGISTRO Y ANÁLISIS DE LA INFORMACIÓN FINANCIERA AL GRUPO DE GESTIÓN FINANCIERA DE LA SSF. (ID: GGF-353).</t>
  </si>
  <si>
    <t>NATHALY RODRIGUEZ PERAZA</t>
  </si>
  <si>
    <t>ALEXANDER QUINTERO TORRES</t>
  </si>
  <si>
    <t>MAURICIO JOSE HERNANDEZ OYOLA</t>
  </si>
  <si>
    <t>KIMBERLY LORENA PINZON RODRIGUEZ</t>
  </si>
  <si>
    <t>IVAN DARIO CELY BARAJAS</t>
  </si>
  <si>
    <t>BAYARDO BUSTOS LINARES</t>
  </si>
  <si>
    <t>LATINO BI CONSULTING S.A.S.</t>
  </si>
  <si>
    <t>NIDIA JOHANNA PRODIGO SARMIENTO</t>
  </si>
  <si>
    <t>JOSE IGNACIO CHARRIS SALAS</t>
  </si>
  <si>
    <t>HECTOR GARCIA GONZALEZ (TONER)</t>
  </si>
  <si>
    <t>EDWARD DAVID MENESES RAMOS</t>
  </si>
  <si>
    <t>MARTIN ANDRES BERNIER PELAEZ</t>
  </si>
  <si>
    <t>SOFIA ACOSTA VALLEJO</t>
  </si>
  <si>
    <t>YENNY MABEL SÁNCHEZ PUENTES</t>
  </si>
  <si>
    <t>JUAN SEBASTIAN MASMELA ZAPATA</t>
  </si>
  <si>
    <t>LINA JIMENA GARCIA MONROY</t>
  </si>
  <si>
    <t>DIDIER SNEIDER CUERVO GOMEZ</t>
  </si>
  <si>
    <t>CAMERFIRMA COLOMBIA SAS</t>
  </si>
  <si>
    <t>JENNY MILENA COLLAZOS CARO</t>
  </si>
  <si>
    <t>EDWIN JOHAN BEDOYA BULLA</t>
  </si>
  <si>
    <t>ANGEL LEONARDO MARTINEZ MARTINEZ</t>
  </si>
  <si>
    <t>ARLOS MANUEL ROMERO ROJAS</t>
  </si>
  <si>
    <t>JOSE ERNESTO LOZANO CRUZ</t>
  </si>
  <si>
    <t>DARLYS KATRIN CORREA CARDOZO</t>
  </si>
  <si>
    <t>JUAN SEBASTIAN GIRALDO BERMUDEZ</t>
  </si>
  <si>
    <t>JAIME TORRES BARRERA</t>
  </si>
  <si>
    <t>PRESTAR LOS SERVICIOS PROFESIONALES ESPECIALIZADOS PARA EL APOYO EN LA REVISIÓN DE LOS DIFERENTES TRAMITES PROPIOS DE LA GESTIÓN JURÍDICA Y TEMAS JURÍDICOS QUE REQUIERAN Y SE ORIGINEN DE LOS GRUPOS DE TRABAJO A CARGO DE LA SECRETARIA GENERAL (ID: SG-207)</t>
  </si>
  <si>
    <t>PRESTAR SERVICIOS PROFESIONALES PARA APOYAR JURÍDICAMENTE AL GRUPO DE GESTIÓN DE TALENTO HUMANO EN LA ESTRUCTURACIÓN, SEGUIMIENTO Y ANALISIS DE LOS PROCESOS CONTRACTUALES A CARGO DEL ÁREA, ASÍ COMO EN LA PROYECCIÓN DE ACTOS ADMINISTRATIVOS. (ID: GGTH-158).</t>
  </si>
  <si>
    <t>PRESTAR LOS SERVICIOS PROFESIONALES PARA APOYAR LA PROYECCIÓN DE ANÁLISIS Y ESTRATEGIAS FINANCIERAS CONTABLES EN EL PROCESO DE IVC DE LOS FONDOS DE LEY Y LOS PROYECTOS DE INVERSIÓN EJECUTADOS POR LAS CAJAS DE COMPENSACIÓN FAMILIAR. (ID: SDG-294)</t>
  </si>
  <si>
    <t xml:space="preserve">
NINI JOHANNA SANDOVAL JAIME</t>
  </si>
  <si>
    <t>PRESTAR SERVICIOS PROFESIONALES PARA APOYAR LA ACTUALIZACIÓN DE LOS PROCESOS Y PROCEDIMIENTOS A CARGO DEL GRUPO DE GESTIÓN DEL TALENTO HUMANO, ASI COMO BRINDAR APOYO JURÍDICO AL ÁREA (ID: GGTH-164).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</si>
</sst>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 #,##0.00;[Red]\-&quot;$&quot;\ #,##0.00"/>
    <numFmt numFmtId="165" formatCode="_-&quot;$&quot;\ * #,##0.00_-;\-&quot;$&quot;\ * #,##0.00_-;_-&quot;$&quot;\ * &quot;-&quot;??_-;_-@_-"/>
    <numFmt numFmtId="166" formatCode="_-* #,##0_-;\-* #,##0_-;_-* &quot;-&quot;??_-;_-@_-"/>
    <numFmt numFmtId="167" formatCode="dd/mm/yyyy;@"/>
  </numFmts>
  <fonts count="8" x14ac:knownFonts="1">
    <font>
      <sz val="11"/>
      <color theme="1"/>
      <name val="Calibri"/>
      <family val="2"/>
      <scheme val="minor"/>
    </font>
    <font>
      <sz val="11"/>
      <color theme="1"/>
      <name val="Calibri"/>
      <family val="2"/>
      <scheme val="minor"/>
    </font>
    <font>
      <sz val="10"/>
      <color theme="1"/>
      <name val="Calibri"/>
      <family val="2"/>
      <scheme val="minor"/>
    </font>
    <font>
      <sz val="11"/>
      <color rgb="FF000000"/>
      <name val="Calibri"/>
      <family val="2"/>
      <scheme val="minor"/>
    </font>
    <font>
      <sz val="11"/>
      <name val="Calibri"/>
      <family val="2"/>
      <scheme val="minor"/>
    </font>
    <font>
      <sz val="11"/>
      <color rgb="FF000000"/>
      <name val="Calibri"/>
      <family val="2"/>
    </font>
    <font>
      <sz val="12"/>
      <color rgb="FF000000"/>
      <name val="Aptos Narrow"/>
      <family val="2"/>
    </font>
    <font>
      <sz val="12"/>
      <color theme="1"/>
      <name val="Aptos Narrow"/>
      <family val="2"/>
    </font>
  </fonts>
  <fills count="3">
    <fill>
      <patternFill patternType="none"/>
    </fill>
    <fill>
      <patternFill patternType="gray125"/>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9">
    <xf numFmtId="0" fontId="0" fillId="0" borderId="0" xfId="0"/>
    <xf numFmtId="10" fontId="0" fillId="0" borderId="1" xfId="2" applyNumberFormat="1" applyFont="1" applyFill="1" applyBorder="1" applyAlignment="1">
      <alignment horizontal="center" vertical="center"/>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0" fillId="2" borderId="0" xfId="0" applyFill="1" applyAlignment="1">
      <alignment wrapText="1"/>
    </xf>
    <xf numFmtId="165" fontId="0" fillId="0" borderId="1" xfId="1" applyFont="1" applyFill="1" applyBorder="1" applyAlignment="1">
      <alignment horizontal="center" vertical="center" wrapText="1"/>
    </xf>
    <xf numFmtId="165" fontId="0" fillId="0" borderId="1" xfId="1" applyFont="1" applyFill="1"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justify" vertical="center" wrapText="1"/>
    </xf>
    <xf numFmtId="14" fontId="0" fillId="0" borderId="1" xfId="0" applyNumberFormat="1" applyBorder="1" applyAlignment="1">
      <alignment horizontal="center" vertical="center" wrapText="1"/>
    </xf>
    <xf numFmtId="167" fontId="0" fillId="0" borderId="1" xfId="0" applyNumberFormat="1" applyBorder="1" applyAlignment="1">
      <alignment horizontal="center" vertical="center" wrapText="1"/>
    </xf>
    <xf numFmtId="1" fontId="0" fillId="0" borderId="1" xfId="0" applyNumberFormat="1" applyBorder="1" applyAlignment="1">
      <alignment horizontal="center" vertical="center" wrapText="1"/>
    </xf>
    <xf numFmtId="165" fontId="3" fillId="0" borderId="1" xfId="1" applyFont="1" applyFill="1" applyBorder="1" applyAlignment="1">
      <alignment horizontal="center" vertical="center" wrapText="1"/>
    </xf>
    <xf numFmtId="1" fontId="3" fillId="0" borderId="1"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7" fontId="4" fillId="0" borderId="1" xfId="0" applyNumberFormat="1" applyFont="1" applyBorder="1" applyAlignment="1">
      <alignment horizontal="center" vertical="center" wrapText="1"/>
    </xf>
    <xf numFmtId="165" fontId="4" fillId="0" borderId="1" xfId="1" applyFont="1" applyFill="1" applyBorder="1" applyAlignment="1">
      <alignment horizontal="center" vertical="center" wrapText="1"/>
    </xf>
    <xf numFmtId="0" fontId="0" fillId="0" borderId="0" xfId="0" applyAlignment="1">
      <alignment wrapText="1"/>
    </xf>
    <xf numFmtId="0" fontId="3" fillId="0" borderId="0" xfId="0" applyFont="1" applyAlignment="1">
      <alignment wrapText="1"/>
    </xf>
    <xf numFmtId="3" fontId="0" fillId="0" borderId="1" xfId="0" applyNumberFormat="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4" fillId="0" borderId="2"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166" fontId="4" fillId="0" borderId="1" xfId="3" applyNumberFormat="1" applyFont="1" applyFill="1" applyBorder="1" applyAlignment="1">
      <alignment horizontal="center" vertical="center" wrapText="1"/>
    </xf>
    <xf numFmtId="0" fontId="3" fillId="0" borderId="1" xfId="0" applyFont="1" applyBorder="1" applyAlignment="1">
      <alignment horizontal="justify" vertical="center" wrapText="1"/>
    </xf>
    <xf numFmtId="164" fontId="0" fillId="0" borderId="1" xfId="1" applyNumberFormat="1" applyFont="1" applyFill="1" applyBorder="1" applyAlignment="1">
      <alignment horizontal="center" vertical="center"/>
    </xf>
    <xf numFmtId="0" fontId="4" fillId="0" borderId="1" xfId="0" applyFont="1" applyBorder="1" applyAlignment="1">
      <alignment horizontal="justify" vertical="center" wrapText="1"/>
    </xf>
    <xf numFmtId="164" fontId="4" fillId="0" borderId="1" xfId="1" applyNumberFormat="1" applyFont="1" applyFill="1" applyBorder="1" applyAlignment="1">
      <alignment horizontal="center" vertical="center"/>
    </xf>
    <xf numFmtId="10" fontId="4" fillId="0" borderId="1" xfId="2" applyNumberFormat="1" applyFont="1" applyFill="1" applyBorder="1" applyAlignment="1">
      <alignment horizontal="center" vertical="center"/>
    </xf>
    <xf numFmtId="1" fontId="4" fillId="0" borderId="1" xfId="0" applyNumberFormat="1" applyFont="1" applyBorder="1" applyAlignment="1">
      <alignment horizontal="center" vertical="center" wrapText="1"/>
    </xf>
    <xf numFmtId="0" fontId="4" fillId="0" borderId="0" xfId="0" applyFont="1"/>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167" fontId="3" fillId="0" borderId="1" xfId="0" applyNumberFormat="1" applyFont="1" applyBorder="1" applyAlignment="1">
      <alignment horizontal="center" vertical="center" wrapText="1"/>
    </xf>
    <xf numFmtId="0" fontId="0" fillId="0" borderId="1" xfId="0" applyBorder="1" applyAlignment="1">
      <alignment horizontal="left" vertical="center" wrapText="1"/>
    </xf>
    <xf numFmtId="0" fontId="0" fillId="0" borderId="5" xfId="0" applyBorder="1" applyAlignment="1">
      <alignment horizontal="center" vertical="center" wrapText="1"/>
    </xf>
    <xf numFmtId="3" fontId="7" fillId="0" borderId="4" xfId="0" applyNumberFormat="1" applyFont="1" applyBorder="1" applyAlignment="1">
      <alignment horizontal="center" vertical="center"/>
    </xf>
    <xf numFmtId="14" fontId="7" fillId="0" borderId="4" xfId="0" applyNumberFormat="1" applyFont="1" applyBorder="1" applyAlignment="1">
      <alignment horizontal="center" vertical="center"/>
    </xf>
    <xf numFmtId="164" fontId="3" fillId="0" borderId="1" xfId="0" applyNumberFormat="1" applyFont="1" applyBorder="1" applyAlignment="1">
      <alignment horizontal="center" vertical="center" wrapText="1"/>
    </xf>
    <xf numFmtId="3" fontId="6" fillId="0" borderId="4" xfId="0" applyNumberFormat="1" applyFont="1" applyBorder="1" applyAlignment="1">
      <alignment horizontal="center" vertical="center"/>
    </xf>
    <xf numFmtId="14" fontId="6" fillId="0" borderId="4" xfId="0" applyNumberFormat="1" applyFont="1" applyBorder="1" applyAlignment="1">
      <alignment horizontal="center" vertical="center"/>
    </xf>
    <xf numFmtId="164" fontId="0" fillId="0" borderId="1" xfId="0" applyNumberFormat="1" applyBorder="1" applyAlignment="1">
      <alignment horizontal="center" vertical="center" wrapText="1"/>
    </xf>
    <xf numFmtId="165" fontId="1" fillId="0" borderId="1" xfId="1" applyFont="1" applyFill="1" applyBorder="1" applyAlignment="1">
      <alignment horizontal="center" vertical="center" wrapText="1"/>
    </xf>
    <xf numFmtId="165" fontId="1" fillId="0" borderId="1" xfId="1" applyFont="1" applyFill="1" applyBorder="1" applyAlignment="1">
      <alignment horizontal="center" vertical="center"/>
    </xf>
    <xf numFmtId="10" fontId="1" fillId="0" borderId="1" xfId="2" applyNumberFormat="1" applyFont="1" applyFill="1" applyBorder="1" applyAlignment="1">
      <alignment horizontal="center" vertical="center"/>
    </xf>
    <xf numFmtId="3" fontId="6" fillId="0" borderId="0" xfId="0" applyNumberFormat="1" applyFont="1" applyAlignment="1">
      <alignment horizontal="center" vertical="center"/>
    </xf>
    <xf numFmtId="0" fontId="0" fillId="0" borderId="0" xfId="0" applyAlignment="1">
      <alignment horizontal="center" vertical="center"/>
    </xf>
    <xf numFmtId="165" fontId="0" fillId="0" borderId="0" xfId="1" applyFont="1" applyFill="1" applyAlignment="1">
      <alignment vertical="center"/>
    </xf>
    <xf numFmtId="165" fontId="2" fillId="2" borderId="1" xfId="1" applyFont="1" applyFill="1" applyBorder="1" applyAlignment="1">
      <alignment horizontal="center" vertical="center" wrapText="1"/>
    </xf>
  </cellXfs>
  <cellStyles count="4">
    <cellStyle name="Millares" xfId="3" builtinId="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9A691-3C89-4692-A636-5936675C0314}">
  <sheetPr filterMode="1"/>
  <dimension ref="A1:O315"/>
  <sheetViews>
    <sheetView tabSelected="1" zoomScale="60" zoomScaleNormal="60" workbookViewId="0">
      <pane ySplit="1" topLeftCell="A2" activePane="bottomLeft" state="frozen"/>
      <selection pane="bottomLeft" activeCell="D4" sqref="D4"/>
    </sheetView>
  </sheetViews>
  <sheetFormatPr baseColWidth="10" defaultColWidth="11.42578125" defaultRowHeight="15" x14ac:dyDescent="0.25"/>
  <cols>
    <col min="1" max="1" width="29" customWidth="1"/>
    <col min="2" max="2" width="19" customWidth="1"/>
    <col min="3" max="3" width="19.5703125" customWidth="1"/>
    <col min="4" max="4" width="59.7109375" bestFit="1" customWidth="1"/>
    <col min="5" max="5" width="17.5703125" bestFit="1" customWidth="1"/>
    <col min="6" max="6" width="16.28515625" bestFit="1" customWidth="1"/>
    <col min="7" max="7" width="20.28515625" bestFit="1" customWidth="1"/>
    <col min="8" max="8" width="23.140625" customWidth="1"/>
    <col min="9" max="9" width="19.85546875" customWidth="1"/>
    <col min="10" max="10" width="31.42578125" style="56" bestFit="1" customWidth="1"/>
    <col min="11" max="11" width="23.5703125" style="57" bestFit="1" customWidth="1"/>
    <col min="12" max="12" width="26.7109375" style="57" bestFit="1" customWidth="1"/>
    <col min="13" max="13" width="27.5703125" bestFit="1" customWidth="1"/>
    <col min="14" max="14" width="25.85546875" bestFit="1" customWidth="1"/>
    <col min="15" max="15" width="41.140625" customWidth="1"/>
    <col min="16" max="16" width="16.42578125" bestFit="1" customWidth="1"/>
  </cols>
  <sheetData>
    <row r="1" spans="1:15" s="4" customFormat="1" ht="30" x14ac:dyDescent="0.25">
      <c r="A1" s="2" t="s">
        <v>7</v>
      </c>
      <c r="B1" s="2" t="s">
        <v>8</v>
      </c>
      <c r="C1" s="3" t="s">
        <v>13</v>
      </c>
      <c r="D1" s="2" t="s">
        <v>0</v>
      </c>
      <c r="E1" s="2" t="s">
        <v>1</v>
      </c>
      <c r="F1" s="2" t="s">
        <v>2</v>
      </c>
      <c r="G1" s="2" t="s">
        <v>3</v>
      </c>
      <c r="H1" s="2" t="s">
        <v>4</v>
      </c>
      <c r="I1" s="2" t="s">
        <v>14</v>
      </c>
      <c r="J1" s="2" t="s">
        <v>5</v>
      </c>
      <c r="K1" s="58" t="s">
        <v>9</v>
      </c>
      <c r="L1" s="2" t="s">
        <v>227</v>
      </c>
      <c r="M1" s="3" t="s">
        <v>10</v>
      </c>
      <c r="N1" s="3" t="s">
        <v>11</v>
      </c>
      <c r="O1" s="3" t="s">
        <v>12</v>
      </c>
    </row>
    <row r="2" spans="1:15" s="22" customFormat="1" ht="90" x14ac:dyDescent="0.25">
      <c r="A2" s="8" t="s">
        <v>224</v>
      </c>
      <c r="B2" s="8">
        <v>900051050</v>
      </c>
      <c r="C2" s="19">
        <v>1</v>
      </c>
      <c r="D2" s="9" t="s">
        <v>225</v>
      </c>
      <c r="E2" s="8" t="s">
        <v>587</v>
      </c>
      <c r="F2" s="17"/>
      <c r="G2" s="20"/>
      <c r="H2" s="21">
        <v>1867333918.8</v>
      </c>
      <c r="I2" s="8"/>
      <c r="J2" s="5">
        <f>949171887+62009608+62009608</f>
        <v>1073191103</v>
      </c>
      <c r="K2" s="6">
        <f>H2-J2</f>
        <v>794142815.79999995</v>
      </c>
      <c r="L2" s="1">
        <f>1-(K2/H2)</f>
        <v>0.57471836836213108</v>
      </c>
      <c r="M2" s="14">
        <v>0</v>
      </c>
      <c r="N2" s="13">
        <v>0</v>
      </c>
      <c r="O2" s="14"/>
    </row>
    <row r="3" spans="1:15" s="22" customFormat="1" ht="60" x14ac:dyDescent="0.25">
      <c r="A3" s="8" t="s">
        <v>736</v>
      </c>
      <c r="B3" s="8">
        <v>900604496</v>
      </c>
      <c r="C3" s="19">
        <v>7</v>
      </c>
      <c r="D3" s="23" t="s">
        <v>737</v>
      </c>
      <c r="E3" s="8" t="s">
        <v>738</v>
      </c>
      <c r="F3" s="17">
        <v>44911</v>
      </c>
      <c r="G3" s="17">
        <v>46234</v>
      </c>
      <c r="H3" s="21">
        <v>95059380</v>
      </c>
      <c r="I3" s="8"/>
      <c r="J3" s="5">
        <v>2018599.99</v>
      </c>
      <c r="K3" s="6">
        <v>0</v>
      </c>
      <c r="L3" s="1">
        <f>1-(K3/H3)</f>
        <v>1</v>
      </c>
      <c r="M3" s="14">
        <v>0</v>
      </c>
      <c r="N3" s="13">
        <v>0</v>
      </c>
      <c r="O3" s="14"/>
    </row>
    <row r="4" spans="1:15" s="22" customFormat="1" ht="45" x14ac:dyDescent="0.25">
      <c r="A4" s="8" t="s">
        <v>585</v>
      </c>
      <c r="B4" s="8">
        <v>800212545</v>
      </c>
      <c r="C4" s="19">
        <v>4</v>
      </c>
      <c r="D4" s="9" t="s">
        <v>588</v>
      </c>
      <c r="E4" s="8" t="s">
        <v>376</v>
      </c>
      <c r="F4" s="17">
        <v>44923</v>
      </c>
      <c r="G4" s="17">
        <v>46234</v>
      </c>
      <c r="H4" s="21">
        <v>2311127326.6799998</v>
      </c>
      <c r="I4" s="8"/>
      <c r="J4" s="5">
        <f>1372143242.68+6376405+1775451+4702194+18212849.5+6622620+2192876.5+21851079</f>
        <v>1433876717.6800001</v>
      </c>
      <c r="K4" s="6">
        <f>H4-J4</f>
        <v>877250608.99999976</v>
      </c>
      <c r="L4" s="1">
        <f t="shared" ref="L4:L12" si="0">1-(K4/H4)</f>
        <v>0.62042307281261078</v>
      </c>
      <c r="M4" s="14">
        <v>0</v>
      </c>
      <c r="N4" s="13">
        <v>0</v>
      </c>
      <c r="O4" s="9"/>
    </row>
    <row r="5" spans="1:15" s="22" customFormat="1" ht="45" x14ac:dyDescent="0.25">
      <c r="A5" s="8" t="s">
        <v>589</v>
      </c>
      <c r="B5" s="24">
        <v>900470772</v>
      </c>
      <c r="C5" s="19">
        <v>8</v>
      </c>
      <c r="D5" s="9" t="s">
        <v>590</v>
      </c>
      <c r="E5" s="8" t="s">
        <v>586</v>
      </c>
      <c r="F5" s="17">
        <v>44937</v>
      </c>
      <c r="G5" s="17">
        <v>46234</v>
      </c>
      <c r="H5" s="21">
        <v>4277440979</v>
      </c>
      <c r="I5" s="8"/>
      <c r="J5" s="5">
        <f>2616071333+95830107+102114050</f>
        <v>2814015490</v>
      </c>
      <c r="K5" s="6">
        <f>H5-J5+95830107</f>
        <v>1559255596</v>
      </c>
      <c r="L5" s="1">
        <f t="shared" si="0"/>
        <v>0.63546999160125639</v>
      </c>
      <c r="M5" s="14">
        <v>0</v>
      </c>
      <c r="N5" s="13">
        <v>0</v>
      </c>
      <c r="O5" s="9"/>
    </row>
    <row r="6" spans="1:15" s="22" customFormat="1" ht="90" x14ac:dyDescent="0.25">
      <c r="A6" s="8" t="s">
        <v>224</v>
      </c>
      <c r="B6" s="8">
        <v>900051050</v>
      </c>
      <c r="C6" s="19">
        <v>1</v>
      </c>
      <c r="D6" s="9" t="s">
        <v>225</v>
      </c>
      <c r="E6" s="8" t="s">
        <v>226</v>
      </c>
      <c r="F6" s="17">
        <v>44896</v>
      </c>
      <c r="G6" s="20">
        <v>46234</v>
      </c>
      <c r="H6" s="21">
        <v>13974493158</v>
      </c>
      <c r="I6" s="8"/>
      <c r="J6" s="5">
        <f>8824270938+317254984+317254984+317254984+317254984</f>
        <v>10093290874</v>
      </c>
      <c r="K6" s="6">
        <f t="shared" ref="K6:K12" si="1">H6-J6</f>
        <v>3881202284</v>
      </c>
      <c r="L6" s="1">
        <f t="shared" si="0"/>
        <v>0.72226525569708255</v>
      </c>
      <c r="M6" s="14">
        <v>0</v>
      </c>
      <c r="N6" s="13">
        <v>0</v>
      </c>
      <c r="O6" s="9"/>
    </row>
    <row r="7" spans="1:15" s="22" customFormat="1" ht="45" customHeight="1" x14ac:dyDescent="0.25">
      <c r="A7" s="8" t="s">
        <v>740</v>
      </c>
      <c r="B7" s="8">
        <v>900062917</v>
      </c>
      <c r="C7" s="25">
        <v>9</v>
      </c>
      <c r="D7" s="9" t="s">
        <v>741</v>
      </c>
      <c r="E7" s="8" t="s">
        <v>739</v>
      </c>
      <c r="F7" s="17">
        <v>44896</v>
      </c>
      <c r="G7" s="20">
        <v>46234</v>
      </c>
      <c r="H7" s="21">
        <v>77787797</v>
      </c>
      <c r="I7" s="8"/>
      <c r="J7" s="5">
        <f>3192816+2411803+2759311</f>
        <v>8363930</v>
      </c>
      <c r="K7" s="6">
        <f t="shared" si="1"/>
        <v>69423867</v>
      </c>
      <c r="L7" s="1">
        <f t="shared" si="0"/>
        <v>0.10752239197621194</v>
      </c>
      <c r="M7" s="14">
        <v>0</v>
      </c>
      <c r="N7" s="13">
        <v>0</v>
      </c>
      <c r="O7" s="9"/>
    </row>
    <row r="8" spans="1:15" s="22" customFormat="1" ht="45" x14ac:dyDescent="0.25">
      <c r="A8" s="8" t="s">
        <v>234</v>
      </c>
      <c r="B8" s="8">
        <v>900459737</v>
      </c>
      <c r="C8" s="26">
        <v>5</v>
      </c>
      <c r="D8" s="8" t="s">
        <v>235</v>
      </c>
      <c r="E8" s="8" t="s">
        <v>236</v>
      </c>
      <c r="F8" s="10">
        <v>45245</v>
      </c>
      <c r="G8" s="10">
        <v>46234</v>
      </c>
      <c r="H8" s="21">
        <v>120893102</v>
      </c>
      <c r="I8" s="8"/>
      <c r="J8" s="5">
        <f>3741126+1522078+1614814.74+1592547.76+1511255.11+1920142.17</f>
        <v>11901963.779999999</v>
      </c>
      <c r="K8" s="6">
        <f>H8-J8</f>
        <v>108991138.22</v>
      </c>
      <c r="L8" s="1">
        <f t="shared" si="0"/>
        <v>9.8450313401669542E-2</v>
      </c>
      <c r="M8" s="14">
        <v>0</v>
      </c>
      <c r="N8" s="13">
        <v>0</v>
      </c>
      <c r="O8" s="9"/>
    </row>
    <row r="9" spans="1:15" s="22" customFormat="1" ht="45" x14ac:dyDescent="0.25">
      <c r="A9" s="8" t="s">
        <v>231</v>
      </c>
      <c r="B9" s="8">
        <v>900460759</v>
      </c>
      <c r="C9" s="26">
        <v>9</v>
      </c>
      <c r="D9" s="8" t="s">
        <v>232</v>
      </c>
      <c r="E9" s="8" t="s">
        <v>233</v>
      </c>
      <c r="F9" s="10">
        <v>45276</v>
      </c>
      <c r="G9" s="10">
        <v>45793</v>
      </c>
      <c r="H9" s="21">
        <v>195515787</v>
      </c>
      <c r="I9" s="8"/>
      <c r="J9" s="5">
        <f>5991772+10685517+10685517+10685517.28+5342768.88+5342748.4+5342748.17</f>
        <v>54076588.730000004</v>
      </c>
      <c r="K9" s="6">
        <f t="shared" si="1"/>
        <v>141439198.26999998</v>
      </c>
      <c r="L9" s="1">
        <f t="shared" si="0"/>
        <v>0.27658425726000335</v>
      </c>
      <c r="M9" s="14">
        <v>0</v>
      </c>
      <c r="N9" s="13">
        <v>0</v>
      </c>
      <c r="O9" s="9"/>
    </row>
    <row r="10" spans="1:15" s="22" customFormat="1" ht="30" x14ac:dyDescent="0.25">
      <c r="A10" s="8" t="s">
        <v>370</v>
      </c>
      <c r="B10" s="8">
        <v>800153993</v>
      </c>
      <c r="C10" s="27">
        <v>7</v>
      </c>
      <c r="D10" s="8" t="s">
        <v>371</v>
      </c>
      <c r="E10" s="8" t="s">
        <v>372</v>
      </c>
      <c r="F10" s="28">
        <v>45399</v>
      </c>
      <c r="G10" s="29">
        <v>45792</v>
      </c>
      <c r="H10" s="21">
        <v>99977850</v>
      </c>
      <c r="I10" s="8"/>
      <c r="J10" s="5">
        <v>9335000</v>
      </c>
      <c r="K10" s="6">
        <f t="shared" si="1"/>
        <v>90642850</v>
      </c>
      <c r="L10" s="1">
        <f t="shared" si="0"/>
        <v>9.3370681605975725E-2</v>
      </c>
      <c r="M10" s="14">
        <v>0</v>
      </c>
      <c r="N10" s="13">
        <v>0</v>
      </c>
      <c r="O10" s="9"/>
    </row>
    <row r="11" spans="1:15" s="22" customFormat="1" ht="30" x14ac:dyDescent="0.25">
      <c r="A11" s="8" t="s">
        <v>370</v>
      </c>
      <c r="B11" s="8">
        <v>800153993</v>
      </c>
      <c r="C11" s="27">
        <v>7</v>
      </c>
      <c r="D11" s="30" t="s">
        <v>373</v>
      </c>
      <c r="E11" s="8" t="s">
        <v>369</v>
      </c>
      <c r="F11" s="28">
        <v>45457</v>
      </c>
      <c r="G11" s="29">
        <v>45728</v>
      </c>
      <c r="H11" s="21">
        <v>54723075</v>
      </c>
      <c r="I11" s="8"/>
      <c r="J11" s="5">
        <v>10944614</v>
      </c>
      <c r="K11" s="6">
        <f t="shared" si="1"/>
        <v>43778461</v>
      </c>
      <c r="L11" s="1">
        <f t="shared" si="0"/>
        <v>0.19999998172617306</v>
      </c>
      <c r="M11" s="14">
        <v>0</v>
      </c>
      <c r="N11" s="13">
        <v>0</v>
      </c>
      <c r="O11" s="9"/>
    </row>
    <row r="12" spans="1:15" s="22" customFormat="1" ht="45" x14ac:dyDescent="0.25">
      <c r="A12" s="8" t="s">
        <v>229</v>
      </c>
      <c r="B12" s="8">
        <v>901681580</v>
      </c>
      <c r="C12" s="27">
        <v>1</v>
      </c>
      <c r="D12" s="9" t="s">
        <v>228</v>
      </c>
      <c r="E12" s="8" t="s">
        <v>230</v>
      </c>
      <c r="F12" s="10">
        <v>45622</v>
      </c>
      <c r="G12" s="10">
        <v>45741</v>
      </c>
      <c r="H12" s="21">
        <v>176513861.94</v>
      </c>
      <c r="I12" s="8"/>
      <c r="J12" s="5">
        <f>32419463+41422834</f>
        <v>73842297</v>
      </c>
      <c r="K12" s="6">
        <f t="shared" si="1"/>
        <v>102671564.94</v>
      </c>
      <c r="L12" s="1">
        <f t="shared" si="0"/>
        <v>0.41833709935540486</v>
      </c>
      <c r="M12" s="14">
        <v>0</v>
      </c>
      <c r="N12" s="13">
        <v>0</v>
      </c>
      <c r="O12" s="9"/>
    </row>
    <row r="13" spans="1:15" ht="75" x14ac:dyDescent="0.25">
      <c r="A13" s="16" t="s">
        <v>15</v>
      </c>
      <c r="B13" s="31">
        <v>1081817848</v>
      </c>
      <c r="C13" s="16">
        <v>1</v>
      </c>
      <c r="D13" s="9" t="s">
        <v>24</v>
      </c>
      <c r="E13" s="16" t="s">
        <v>33</v>
      </c>
      <c r="F13" s="17">
        <v>45679</v>
      </c>
      <c r="G13" s="20">
        <v>45737</v>
      </c>
      <c r="H13" s="21">
        <v>17510000</v>
      </c>
      <c r="I13" s="21">
        <v>8755000</v>
      </c>
      <c r="J13" s="5">
        <f>I13+2626500+6128500</f>
        <v>17510000</v>
      </c>
      <c r="K13" s="6">
        <f>H13-J13</f>
        <v>0</v>
      </c>
      <c r="L13" s="1">
        <f t="shared" ref="L13:L22" si="2">1-(K13/H13)</f>
        <v>1</v>
      </c>
      <c r="M13" s="14">
        <v>0</v>
      </c>
      <c r="N13" s="13">
        <v>0</v>
      </c>
      <c r="O13" s="9"/>
    </row>
    <row r="14" spans="1:15" ht="75" x14ac:dyDescent="0.25">
      <c r="A14" s="16" t="s">
        <v>16</v>
      </c>
      <c r="B14" s="16">
        <v>1032431123</v>
      </c>
      <c r="C14" s="16">
        <v>4</v>
      </c>
      <c r="D14" s="9" t="s">
        <v>25</v>
      </c>
      <c r="E14" s="16" t="s">
        <v>34</v>
      </c>
      <c r="F14" s="17">
        <v>45679</v>
      </c>
      <c r="G14" s="20">
        <v>46022</v>
      </c>
      <c r="H14" s="21">
        <v>128029000</v>
      </c>
      <c r="I14" s="21">
        <v>11330000</v>
      </c>
      <c r="J14" s="5">
        <f>26059000+11330000+I14+I14</f>
        <v>60049000</v>
      </c>
      <c r="K14" s="6">
        <f t="shared" ref="K14:K22" si="3">H14-J14</f>
        <v>67980000</v>
      </c>
      <c r="L14" s="1">
        <f t="shared" si="2"/>
        <v>0.46902654867256632</v>
      </c>
      <c r="M14" s="14">
        <v>0</v>
      </c>
      <c r="N14" s="13">
        <v>0</v>
      </c>
      <c r="O14" s="9"/>
    </row>
    <row r="15" spans="1:15" ht="75" x14ac:dyDescent="0.25">
      <c r="A15" s="16" t="s">
        <v>17</v>
      </c>
      <c r="B15" s="16">
        <v>1018454656</v>
      </c>
      <c r="C15" s="16">
        <v>6</v>
      </c>
      <c r="D15" s="9" t="s">
        <v>26</v>
      </c>
      <c r="E15" s="16" t="s">
        <v>35</v>
      </c>
      <c r="F15" s="17">
        <v>45679</v>
      </c>
      <c r="G15" s="20">
        <v>46022</v>
      </c>
      <c r="H15" s="21">
        <v>120767500</v>
      </c>
      <c r="I15" s="21">
        <v>10815000</v>
      </c>
      <c r="J15" s="5">
        <f>I15+3244500+10815000+I15+I15+I15</f>
        <v>57319500</v>
      </c>
      <c r="K15" s="6">
        <f t="shared" si="3"/>
        <v>63448000</v>
      </c>
      <c r="L15" s="1">
        <f t="shared" si="2"/>
        <v>0.47462686567164181</v>
      </c>
      <c r="M15" s="14">
        <v>0</v>
      </c>
      <c r="N15" s="13">
        <v>0</v>
      </c>
      <c r="O15" s="9"/>
    </row>
    <row r="16" spans="1:15" ht="90" x14ac:dyDescent="0.25">
      <c r="A16" s="16" t="s">
        <v>18</v>
      </c>
      <c r="B16" s="16">
        <v>1100950879</v>
      </c>
      <c r="C16" s="16">
        <v>6</v>
      </c>
      <c r="D16" s="9" t="s">
        <v>27</v>
      </c>
      <c r="E16" s="16" t="s">
        <v>36</v>
      </c>
      <c r="F16" s="17">
        <v>45680</v>
      </c>
      <c r="G16" s="20">
        <v>46022</v>
      </c>
      <c r="H16" s="21">
        <v>98639667</v>
      </c>
      <c r="I16" s="21">
        <v>8755000</v>
      </c>
      <c r="J16" s="5">
        <f>I16+2334667+8755000+I16+I16+I16</f>
        <v>46109667</v>
      </c>
      <c r="K16" s="6">
        <f t="shared" si="3"/>
        <v>52530000</v>
      </c>
      <c r="L16" s="1">
        <f t="shared" si="2"/>
        <v>0.46745562310140398</v>
      </c>
      <c r="M16" s="14">
        <v>0</v>
      </c>
      <c r="N16" s="13">
        <v>0</v>
      </c>
      <c r="O16" s="9"/>
    </row>
    <row r="17" spans="1:15" ht="75" x14ac:dyDescent="0.25">
      <c r="A17" s="16" t="s">
        <v>19</v>
      </c>
      <c r="B17" s="16">
        <v>53106586</v>
      </c>
      <c r="C17" s="16">
        <v>3</v>
      </c>
      <c r="D17" s="9" t="s">
        <v>28</v>
      </c>
      <c r="E17" s="16" t="s">
        <v>37</v>
      </c>
      <c r="F17" s="17">
        <v>45681</v>
      </c>
      <c r="G17" s="20">
        <v>45739</v>
      </c>
      <c r="H17" s="21">
        <v>17510000</v>
      </c>
      <c r="I17" s="21">
        <v>8755000</v>
      </c>
      <c r="J17" s="5">
        <f>I17+2042833+6712167</f>
        <v>17510000</v>
      </c>
      <c r="K17" s="6">
        <f t="shared" si="3"/>
        <v>0</v>
      </c>
      <c r="L17" s="1">
        <f t="shared" si="2"/>
        <v>1</v>
      </c>
      <c r="M17" s="14">
        <v>0</v>
      </c>
      <c r="N17" s="13">
        <v>0</v>
      </c>
      <c r="O17" s="9"/>
    </row>
    <row r="18" spans="1:15" ht="75" x14ac:dyDescent="0.25">
      <c r="A18" s="16" t="s">
        <v>20</v>
      </c>
      <c r="B18" s="16">
        <v>52786047</v>
      </c>
      <c r="C18" s="16">
        <v>8</v>
      </c>
      <c r="D18" s="9" t="s">
        <v>29</v>
      </c>
      <c r="E18" s="16" t="s">
        <v>38</v>
      </c>
      <c r="F18" s="17">
        <v>45684</v>
      </c>
      <c r="G18" s="20">
        <v>45742</v>
      </c>
      <c r="H18" s="21">
        <v>17510000</v>
      </c>
      <c r="I18" s="21">
        <v>8755000</v>
      </c>
      <c r="J18" s="5">
        <f>I18+1167333+7587667</f>
        <v>17510000</v>
      </c>
      <c r="K18" s="6">
        <f t="shared" si="3"/>
        <v>0</v>
      </c>
      <c r="L18" s="1">
        <f t="shared" si="2"/>
        <v>1</v>
      </c>
      <c r="M18" s="14">
        <v>0</v>
      </c>
      <c r="N18" s="13">
        <v>0</v>
      </c>
      <c r="O18" s="9"/>
    </row>
    <row r="19" spans="1:15" ht="105" x14ac:dyDescent="0.25">
      <c r="A19" s="16" t="s">
        <v>21</v>
      </c>
      <c r="B19" s="16">
        <v>1110534895</v>
      </c>
      <c r="C19" s="16">
        <v>7</v>
      </c>
      <c r="D19" s="9" t="s">
        <v>30</v>
      </c>
      <c r="E19" s="16" t="s">
        <v>39</v>
      </c>
      <c r="F19" s="17">
        <v>45685</v>
      </c>
      <c r="G19" s="20">
        <v>45988</v>
      </c>
      <c r="H19" s="21">
        <v>82400000</v>
      </c>
      <c r="I19" s="21">
        <v>8240000</v>
      </c>
      <c r="J19" s="5">
        <f>I19+824000+8240000+I19+I19+I19</f>
        <v>42024000</v>
      </c>
      <c r="K19" s="6">
        <f>H19-J19+8240000</f>
        <v>48616000</v>
      </c>
      <c r="L19" s="1">
        <f t="shared" si="2"/>
        <v>0.41000000000000003</v>
      </c>
      <c r="M19" s="14">
        <v>0</v>
      </c>
      <c r="N19" s="13">
        <v>0</v>
      </c>
      <c r="O19" s="9"/>
    </row>
    <row r="20" spans="1:15" ht="60" x14ac:dyDescent="0.25">
      <c r="A20" s="16" t="s">
        <v>42</v>
      </c>
      <c r="B20" s="16">
        <v>830001113</v>
      </c>
      <c r="C20" s="16">
        <v>1</v>
      </c>
      <c r="D20" s="9" t="s">
        <v>43</v>
      </c>
      <c r="E20" s="16" t="s">
        <v>44</v>
      </c>
      <c r="F20" s="17">
        <v>45691</v>
      </c>
      <c r="G20" s="20">
        <v>46022</v>
      </c>
      <c r="H20" s="21">
        <v>25000000</v>
      </c>
      <c r="I20" s="21">
        <v>25000000</v>
      </c>
      <c r="J20" s="5">
        <f>6485100+9610500+5170000</f>
        <v>21265600</v>
      </c>
      <c r="K20" s="6">
        <f t="shared" si="3"/>
        <v>3734400</v>
      </c>
      <c r="L20" s="1">
        <f t="shared" si="2"/>
        <v>0.85062400000000005</v>
      </c>
      <c r="M20" s="14">
        <v>0</v>
      </c>
      <c r="N20" s="13">
        <v>0</v>
      </c>
      <c r="O20" s="9"/>
    </row>
    <row r="21" spans="1:15" ht="75" x14ac:dyDescent="0.25">
      <c r="A21" s="16" t="s">
        <v>22</v>
      </c>
      <c r="B21" s="16">
        <v>1055228274</v>
      </c>
      <c r="C21" s="16">
        <v>2</v>
      </c>
      <c r="D21" s="9" t="s">
        <v>31</v>
      </c>
      <c r="E21" s="16" t="s">
        <v>40</v>
      </c>
      <c r="F21" s="17">
        <v>45687</v>
      </c>
      <c r="G21" s="20">
        <v>45745</v>
      </c>
      <c r="H21" s="21">
        <v>12360000</v>
      </c>
      <c r="I21" s="21">
        <v>6180000</v>
      </c>
      <c r="J21" s="5">
        <f>206000+6180000+5974000</f>
        <v>12360000</v>
      </c>
      <c r="K21" s="6">
        <f t="shared" si="3"/>
        <v>0</v>
      </c>
      <c r="L21" s="1">
        <f t="shared" si="2"/>
        <v>1</v>
      </c>
      <c r="M21" s="14">
        <v>0</v>
      </c>
      <c r="N21" s="13">
        <v>0</v>
      </c>
      <c r="O21" s="9"/>
    </row>
    <row r="22" spans="1:15" ht="90" x14ac:dyDescent="0.25">
      <c r="A22" s="16" t="s">
        <v>23</v>
      </c>
      <c r="B22" s="16">
        <v>79443118</v>
      </c>
      <c r="C22" s="16">
        <v>9</v>
      </c>
      <c r="D22" s="9" t="s">
        <v>32</v>
      </c>
      <c r="E22" s="16" t="s">
        <v>41</v>
      </c>
      <c r="F22" s="17">
        <v>45687</v>
      </c>
      <c r="G22" s="20">
        <v>45745</v>
      </c>
      <c r="H22" s="21">
        <v>16480000</v>
      </c>
      <c r="I22" s="21">
        <v>8240000</v>
      </c>
      <c r="J22" s="5">
        <f>274667+I22+7965333</f>
        <v>16480000</v>
      </c>
      <c r="K22" s="6">
        <f t="shared" si="3"/>
        <v>0</v>
      </c>
      <c r="L22" s="1">
        <f t="shared" si="2"/>
        <v>1</v>
      </c>
      <c r="M22" s="14">
        <v>0</v>
      </c>
      <c r="N22" s="13">
        <v>0</v>
      </c>
      <c r="O22" s="9"/>
    </row>
    <row r="23" spans="1:15" ht="60" x14ac:dyDescent="0.25">
      <c r="A23" s="32" t="s">
        <v>105</v>
      </c>
      <c r="B23" s="16">
        <v>35529449</v>
      </c>
      <c r="C23" s="16">
        <v>2</v>
      </c>
      <c r="D23" s="9" t="s">
        <v>164</v>
      </c>
      <c r="E23" s="16" t="s">
        <v>45</v>
      </c>
      <c r="F23" s="17">
        <v>45693</v>
      </c>
      <c r="G23" s="20">
        <v>45751</v>
      </c>
      <c r="H23" s="21">
        <v>17510000</v>
      </c>
      <c r="I23" s="21">
        <v>8755000</v>
      </c>
      <c r="J23" s="5">
        <f>7587667+9922333</f>
        <v>17510000</v>
      </c>
      <c r="K23" s="6">
        <f t="shared" ref="K23:K83" si="4">H23-J23</f>
        <v>0</v>
      </c>
      <c r="L23" s="1">
        <f t="shared" ref="L23:L83" si="5">1-(K23/H23)</f>
        <v>1</v>
      </c>
      <c r="M23" s="14">
        <v>0</v>
      </c>
      <c r="N23" s="13">
        <v>0</v>
      </c>
      <c r="O23" s="9"/>
    </row>
    <row r="24" spans="1:15" ht="135" x14ac:dyDescent="0.25">
      <c r="A24" s="15" t="s">
        <v>106</v>
      </c>
      <c r="B24" s="16">
        <v>52219533</v>
      </c>
      <c r="C24" s="16">
        <v>5</v>
      </c>
      <c r="D24" s="9" t="s">
        <v>165</v>
      </c>
      <c r="E24" s="16" t="s">
        <v>46</v>
      </c>
      <c r="F24" s="17">
        <v>45694</v>
      </c>
      <c r="G24" s="20">
        <v>45752</v>
      </c>
      <c r="H24" s="21">
        <v>18746000</v>
      </c>
      <c r="I24" s="21">
        <v>9373000</v>
      </c>
      <c r="J24" s="5">
        <f>7810833+10935167</f>
        <v>18746000</v>
      </c>
      <c r="K24" s="6">
        <f>H24-J24</f>
        <v>0</v>
      </c>
      <c r="L24" s="1">
        <f t="shared" si="5"/>
        <v>1</v>
      </c>
      <c r="M24" s="14">
        <v>0</v>
      </c>
      <c r="N24" s="13">
        <v>0</v>
      </c>
      <c r="O24" s="9"/>
    </row>
    <row r="25" spans="1:15" ht="120" x14ac:dyDescent="0.25">
      <c r="A25" s="15" t="s">
        <v>107</v>
      </c>
      <c r="B25" s="16">
        <v>46373026</v>
      </c>
      <c r="C25" s="16">
        <v>9</v>
      </c>
      <c r="D25" s="9" t="s">
        <v>166</v>
      </c>
      <c r="E25" s="16" t="s">
        <v>47</v>
      </c>
      <c r="F25" s="17">
        <v>45694</v>
      </c>
      <c r="G25" s="20">
        <v>45752</v>
      </c>
      <c r="H25" s="21">
        <v>18746000</v>
      </c>
      <c r="I25" s="21">
        <v>9373000</v>
      </c>
      <c r="J25" s="5">
        <f>7810833+9373000+1562167</f>
        <v>18746000</v>
      </c>
      <c r="K25" s="6">
        <f t="shared" si="4"/>
        <v>0</v>
      </c>
      <c r="L25" s="1">
        <f t="shared" si="5"/>
        <v>1</v>
      </c>
      <c r="M25" s="14">
        <v>0</v>
      </c>
      <c r="N25" s="13">
        <v>0</v>
      </c>
      <c r="O25" s="9"/>
    </row>
    <row r="26" spans="1:15" ht="90" x14ac:dyDescent="0.25">
      <c r="A26" s="15" t="s">
        <v>108</v>
      </c>
      <c r="B26" s="16">
        <v>34568513</v>
      </c>
      <c r="C26" s="16">
        <v>9</v>
      </c>
      <c r="D26" s="9" t="s">
        <v>167</v>
      </c>
      <c r="E26" s="16" t="s">
        <v>48</v>
      </c>
      <c r="F26" s="17">
        <v>45695</v>
      </c>
      <c r="G26" s="20">
        <v>45753</v>
      </c>
      <c r="H26" s="21">
        <v>18746000</v>
      </c>
      <c r="I26" s="21">
        <v>9373000</v>
      </c>
      <c r="J26" s="5">
        <f>7498400+9373000+1874600</f>
        <v>18746000</v>
      </c>
      <c r="K26" s="6">
        <f t="shared" si="4"/>
        <v>0</v>
      </c>
      <c r="L26" s="1">
        <f t="shared" si="5"/>
        <v>1</v>
      </c>
      <c r="M26" s="14">
        <v>0</v>
      </c>
      <c r="N26" s="13">
        <v>0</v>
      </c>
      <c r="O26" s="9"/>
    </row>
    <row r="27" spans="1:15" ht="90" x14ac:dyDescent="0.25">
      <c r="A27" s="15" t="s">
        <v>109</v>
      </c>
      <c r="B27" s="16">
        <v>52265179</v>
      </c>
      <c r="C27" s="16">
        <v>6</v>
      </c>
      <c r="D27" s="9" t="s">
        <v>168</v>
      </c>
      <c r="E27" s="16" t="s">
        <v>49</v>
      </c>
      <c r="F27" s="17">
        <v>45698</v>
      </c>
      <c r="G27" s="20">
        <v>45756</v>
      </c>
      <c r="H27" s="21">
        <v>15450000</v>
      </c>
      <c r="I27" s="21">
        <v>7725000</v>
      </c>
      <c r="J27" s="5">
        <f>5407500+7725000</f>
        <v>13132500</v>
      </c>
      <c r="K27" s="6">
        <f t="shared" si="4"/>
        <v>2317500</v>
      </c>
      <c r="L27" s="1">
        <f t="shared" si="5"/>
        <v>0.85</v>
      </c>
      <c r="M27" s="14">
        <v>0</v>
      </c>
      <c r="N27" s="13">
        <v>0</v>
      </c>
      <c r="O27" s="9"/>
    </row>
    <row r="28" spans="1:15" ht="120" x14ac:dyDescent="0.25">
      <c r="A28" s="15" t="s">
        <v>110</v>
      </c>
      <c r="B28" s="16">
        <v>1082933510</v>
      </c>
      <c r="C28" s="16">
        <v>8</v>
      </c>
      <c r="D28" s="9" t="s">
        <v>169</v>
      </c>
      <c r="E28" s="16" t="s">
        <v>50</v>
      </c>
      <c r="F28" s="17">
        <v>45698</v>
      </c>
      <c r="G28" s="20">
        <v>45756</v>
      </c>
      <c r="H28" s="21">
        <v>18746000</v>
      </c>
      <c r="I28" s="21">
        <v>9373000</v>
      </c>
      <c r="J28" s="5">
        <f>6561100+9373000+2811900</f>
        <v>18746000</v>
      </c>
      <c r="K28" s="6">
        <f t="shared" si="4"/>
        <v>0</v>
      </c>
      <c r="L28" s="1">
        <f t="shared" si="5"/>
        <v>1</v>
      </c>
      <c r="M28" s="14">
        <v>0</v>
      </c>
      <c r="N28" s="13">
        <v>0</v>
      </c>
      <c r="O28" s="9"/>
    </row>
    <row r="29" spans="1:15" ht="60" x14ac:dyDescent="0.25">
      <c r="A29" s="15" t="s">
        <v>111</v>
      </c>
      <c r="B29" s="16">
        <v>1018413612</v>
      </c>
      <c r="C29" s="16">
        <v>7</v>
      </c>
      <c r="D29" s="9" t="s">
        <v>170</v>
      </c>
      <c r="E29" s="16" t="s">
        <v>51</v>
      </c>
      <c r="F29" s="17">
        <v>45695</v>
      </c>
      <c r="G29" s="17">
        <v>45747</v>
      </c>
      <c r="H29" s="21">
        <v>16480000</v>
      </c>
      <c r="I29" s="21">
        <v>8240000</v>
      </c>
      <c r="J29" s="5">
        <f>6592000+8240000</f>
        <v>14832000</v>
      </c>
      <c r="K29" s="6">
        <f t="shared" si="4"/>
        <v>1648000</v>
      </c>
      <c r="L29" s="1">
        <f t="shared" si="5"/>
        <v>0.9</v>
      </c>
      <c r="M29" s="14">
        <v>0</v>
      </c>
      <c r="N29" s="13">
        <v>0</v>
      </c>
      <c r="O29" s="9"/>
    </row>
    <row r="30" spans="1:15" ht="60" x14ac:dyDescent="0.25">
      <c r="A30" s="15" t="s">
        <v>112</v>
      </c>
      <c r="B30" s="16">
        <v>1098616302</v>
      </c>
      <c r="C30" s="16">
        <v>1</v>
      </c>
      <c r="D30" s="9" t="s">
        <v>171</v>
      </c>
      <c r="E30" s="16" t="s">
        <v>52</v>
      </c>
      <c r="F30" s="17">
        <v>45698</v>
      </c>
      <c r="G30" s="20">
        <v>46020</v>
      </c>
      <c r="H30" s="21">
        <v>87893333</v>
      </c>
      <c r="I30" s="21">
        <v>8240000</v>
      </c>
      <c r="J30" s="5">
        <f>5768000+8240000+8240000+8240000+8240000</f>
        <v>38728000</v>
      </c>
      <c r="K30" s="6">
        <f t="shared" si="4"/>
        <v>49165333</v>
      </c>
      <c r="L30" s="1">
        <f t="shared" si="5"/>
        <v>0.44062500167105967</v>
      </c>
      <c r="M30" s="14">
        <v>0</v>
      </c>
      <c r="N30" s="13">
        <v>0</v>
      </c>
      <c r="O30" s="9"/>
    </row>
    <row r="31" spans="1:15" ht="60" x14ac:dyDescent="0.25">
      <c r="A31" s="15" t="s">
        <v>113</v>
      </c>
      <c r="B31" s="16">
        <v>1030700108</v>
      </c>
      <c r="C31" s="16">
        <v>0</v>
      </c>
      <c r="D31" s="9" t="s">
        <v>172</v>
      </c>
      <c r="E31" s="16" t="s">
        <v>53</v>
      </c>
      <c r="F31" s="17">
        <v>45712</v>
      </c>
      <c r="G31" s="20">
        <v>45800</v>
      </c>
      <c r="H31" s="21">
        <v>9900000</v>
      </c>
      <c r="I31" s="21">
        <v>3300000</v>
      </c>
      <c r="J31" s="5">
        <f>770000+3300000+3300000+2530000</f>
        <v>9900000</v>
      </c>
      <c r="K31" s="6">
        <f t="shared" si="4"/>
        <v>0</v>
      </c>
      <c r="L31" s="1">
        <f t="shared" si="5"/>
        <v>1</v>
      </c>
      <c r="M31" s="14">
        <v>0</v>
      </c>
      <c r="N31" s="13">
        <v>0</v>
      </c>
      <c r="O31" s="9"/>
    </row>
    <row r="32" spans="1:15" ht="105" x14ac:dyDescent="0.25">
      <c r="A32" s="15" t="s">
        <v>114</v>
      </c>
      <c r="B32" s="16">
        <v>52538558</v>
      </c>
      <c r="C32" s="16">
        <v>7</v>
      </c>
      <c r="D32" s="9" t="s">
        <v>173</v>
      </c>
      <c r="E32" s="16" t="s">
        <v>54</v>
      </c>
      <c r="F32" s="17">
        <v>45702</v>
      </c>
      <c r="G32" s="20">
        <v>45760</v>
      </c>
      <c r="H32" s="21">
        <v>18746000</v>
      </c>
      <c r="I32" s="21">
        <v>9373000</v>
      </c>
      <c r="J32" s="5">
        <f>6248667+12497333</f>
        <v>18746000</v>
      </c>
      <c r="K32" s="6">
        <f t="shared" si="4"/>
        <v>0</v>
      </c>
      <c r="L32" s="1">
        <f t="shared" si="5"/>
        <v>1</v>
      </c>
      <c r="M32" s="14">
        <v>0</v>
      </c>
      <c r="N32" s="13">
        <v>0</v>
      </c>
      <c r="O32" s="9"/>
    </row>
    <row r="33" spans="1:15" ht="75" x14ac:dyDescent="0.25">
      <c r="A33" s="15" t="s">
        <v>115</v>
      </c>
      <c r="B33" s="16">
        <v>15443887</v>
      </c>
      <c r="C33" s="16">
        <v>1</v>
      </c>
      <c r="D33" s="9" t="s">
        <v>174</v>
      </c>
      <c r="E33" s="16" t="s">
        <v>55</v>
      </c>
      <c r="F33" s="17">
        <v>45699</v>
      </c>
      <c r="G33" s="20">
        <v>45848</v>
      </c>
      <c r="H33" s="21">
        <v>36050000</v>
      </c>
      <c r="I33" s="21">
        <v>7210000</v>
      </c>
      <c r="J33" s="5">
        <f>4806666+7210000+7210000+7210000+7210000</f>
        <v>33646666</v>
      </c>
      <c r="K33" s="6">
        <f t="shared" si="4"/>
        <v>2403334</v>
      </c>
      <c r="L33" s="1">
        <f t="shared" si="5"/>
        <v>0.93333331484049931</v>
      </c>
      <c r="M33" s="14">
        <v>0</v>
      </c>
      <c r="N33" s="13">
        <v>0</v>
      </c>
      <c r="O33" s="9"/>
    </row>
    <row r="34" spans="1:15" ht="60" x14ac:dyDescent="0.25">
      <c r="A34" s="15" t="s">
        <v>6</v>
      </c>
      <c r="B34" s="16">
        <v>1013688295</v>
      </c>
      <c r="C34" s="16">
        <v>7</v>
      </c>
      <c r="D34" s="9" t="s">
        <v>175</v>
      </c>
      <c r="E34" s="16" t="s">
        <v>56</v>
      </c>
      <c r="F34" s="17">
        <v>45699</v>
      </c>
      <c r="G34" s="20">
        <v>45757</v>
      </c>
      <c r="H34" s="21">
        <v>5850400</v>
      </c>
      <c r="I34" s="21">
        <v>2925200</v>
      </c>
      <c r="J34" s="5">
        <f>1950133+3900267</f>
        <v>5850400</v>
      </c>
      <c r="K34" s="6">
        <f t="shared" si="4"/>
        <v>0</v>
      </c>
      <c r="L34" s="1">
        <f t="shared" si="5"/>
        <v>1</v>
      </c>
      <c r="M34" s="14">
        <v>0</v>
      </c>
      <c r="N34" s="13">
        <v>0</v>
      </c>
      <c r="O34" s="9"/>
    </row>
    <row r="35" spans="1:15" ht="105" x14ac:dyDescent="0.25">
      <c r="A35" s="15" t="s">
        <v>116</v>
      </c>
      <c r="B35" s="16">
        <v>1095823766</v>
      </c>
      <c r="C35" s="16">
        <v>1</v>
      </c>
      <c r="D35" s="9" t="s">
        <v>176</v>
      </c>
      <c r="E35" s="16" t="s">
        <v>57</v>
      </c>
      <c r="F35" s="17">
        <v>45699</v>
      </c>
      <c r="G35" s="20">
        <v>46022</v>
      </c>
      <c r="H35" s="21">
        <v>99978667</v>
      </c>
      <c r="I35" s="21">
        <v>9370071.883786317</v>
      </c>
      <c r="J35" s="5">
        <f>6248667+9373000+9373000+9373000</f>
        <v>34367667</v>
      </c>
      <c r="K35" s="6">
        <f t="shared" si="4"/>
        <v>65611000</v>
      </c>
      <c r="L35" s="1">
        <f t="shared" si="5"/>
        <v>0.34375000218796681</v>
      </c>
      <c r="M35" s="14">
        <v>0</v>
      </c>
      <c r="N35" s="13">
        <v>0</v>
      </c>
      <c r="O35" s="9"/>
    </row>
    <row r="36" spans="1:15" ht="60" x14ac:dyDescent="0.25">
      <c r="A36" s="15" t="s">
        <v>117</v>
      </c>
      <c r="B36" s="16">
        <v>1020816603</v>
      </c>
      <c r="C36" s="16">
        <v>8</v>
      </c>
      <c r="D36" s="9" t="s">
        <v>177</v>
      </c>
      <c r="E36" s="16" t="s">
        <v>58</v>
      </c>
      <c r="F36" s="17">
        <v>45699</v>
      </c>
      <c r="G36" s="20">
        <v>45787</v>
      </c>
      <c r="H36" s="21">
        <v>13905000</v>
      </c>
      <c r="I36" s="21">
        <v>4635000</v>
      </c>
      <c r="J36" s="5">
        <f>3090000+4635000+4365000+1545000</f>
        <v>13635000</v>
      </c>
      <c r="K36" s="6">
        <f t="shared" si="4"/>
        <v>270000</v>
      </c>
      <c r="L36" s="1">
        <f t="shared" si="5"/>
        <v>0.98058252427184467</v>
      </c>
      <c r="M36" s="14">
        <v>0</v>
      </c>
      <c r="N36" s="13">
        <v>0</v>
      </c>
      <c r="O36" s="9"/>
    </row>
    <row r="37" spans="1:15" ht="105" x14ac:dyDescent="0.25">
      <c r="A37" s="15" t="s">
        <v>118</v>
      </c>
      <c r="B37" s="16">
        <v>1072662456</v>
      </c>
      <c r="C37" s="16">
        <v>8</v>
      </c>
      <c r="D37" s="9" t="s">
        <v>178</v>
      </c>
      <c r="E37" s="16" t="s">
        <v>59</v>
      </c>
      <c r="F37" s="17">
        <v>45702</v>
      </c>
      <c r="G37" s="20">
        <v>45760</v>
      </c>
      <c r="H37" s="21">
        <v>16480000</v>
      </c>
      <c r="I37" s="21">
        <v>8240000</v>
      </c>
      <c r="J37" s="5">
        <f>3845333+8240000+4394667</f>
        <v>16480000</v>
      </c>
      <c r="K37" s="6">
        <f t="shared" si="4"/>
        <v>0</v>
      </c>
      <c r="L37" s="1">
        <f t="shared" si="5"/>
        <v>1</v>
      </c>
      <c r="M37" s="14">
        <v>0</v>
      </c>
      <c r="N37" s="13">
        <v>0</v>
      </c>
      <c r="O37" s="9"/>
    </row>
    <row r="38" spans="1:15" ht="90" x14ac:dyDescent="0.25">
      <c r="A38" s="15" t="s">
        <v>119</v>
      </c>
      <c r="B38" s="16">
        <v>1010215529</v>
      </c>
      <c r="C38" s="16">
        <v>5</v>
      </c>
      <c r="D38" s="9" t="s">
        <v>179</v>
      </c>
      <c r="E38" s="16" t="s">
        <v>60</v>
      </c>
      <c r="F38" s="17">
        <v>45699</v>
      </c>
      <c r="G38" s="20">
        <v>45757</v>
      </c>
      <c r="H38" s="21">
        <v>17510000</v>
      </c>
      <c r="I38" s="21">
        <v>8755000</v>
      </c>
      <c r="J38" s="5">
        <v>5835557</v>
      </c>
      <c r="K38" s="6">
        <f t="shared" si="4"/>
        <v>11674443</v>
      </c>
      <c r="L38" s="1">
        <f t="shared" si="5"/>
        <v>0.33326996002284404</v>
      </c>
      <c r="M38" s="14">
        <v>0</v>
      </c>
      <c r="N38" s="13">
        <v>0</v>
      </c>
      <c r="O38" s="9"/>
    </row>
    <row r="39" spans="1:15" ht="90" x14ac:dyDescent="0.25">
      <c r="A39" s="15" t="s">
        <v>120</v>
      </c>
      <c r="B39" s="16">
        <v>72260721</v>
      </c>
      <c r="C39" s="16">
        <v>9</v>
      </c>
      <c r="D39" s="9" t="s">
        <v>180</v>
      </c>
      <c r="E39" s="16" t="s">
        <v>61</v>
      </c>
      <c r="F39" s="17">
        <v>45699</v>
      </c>
      <c r="G39" s="20">
        <v>45787</v>
      </c>
      <c r="H39" s="21">
        <v>26265000</v>
      </c>
      <c r="I39" s="21">
        <v>8755000</v>
      </c>
      <c r="J39" s="5">
        <f>5836667+8755000+8755000+2918333</f>
        <v>26265000</v>
      </c>
      <c r="K39" s="6">
        <f t="shared" si="4"/>
        <v>0</v>
      </c>
      <c r="L39" s="1">
        <f t="shared" si="5"/>
        <v>1</v>
      </c>
      <c r="M39" s="14">
        <v>0</v>
      </c>
      <c r="N39" s="13">
        <v>0</v>
      </c>
      <c r="O39" s="9"/>
    </row>
    <row r="40" spans="1:15" ht="60" x14ac:dyDescent="0.25">
      <c r="A40" s="15" t="s">
        <v>121</v>
      </c>
      <c r="B40" s="16">
        <v>1020802607</v>
      </c>
      <c r="C40" s="16">
        <v>6</v>
      </c>
      <c r="D40" s="9" t="s">
        <v>181</v>
      </c>
      <c r="E40" s="16" t="s">
        <v>62</v>
      </c>
      <c r="F40" s="17">
        <v>45699</v>
      </c>
      <c r="G40" s="20">
        <v>45787</v>
      </c>
      <c r="H40" s="21">
        <v>18540000</v>
      </c>
      <c r="I40" s="21">
        <v>6180000</v>
      </c>
      <c r="J40" s="5">
        <f>4120000+6180000+2060000</f>
        <v>12360000</v>
      </c>
      <c r="K40" s="6">
        <f t="shared" si="4"/>
        <v>6180000</v>
      </c>
      <c r="L40" s="1">
        <f t="shared" si="5"/>
        <v>0.66666666666666674</v>
      </c>
      <c r="M40" s="14">
        <v>0</v>
      </c>
      <c r="N40" s="13">
        <v>0</v>
      </c>
      <c r="O40" s="9"/>
    </row>
    <row r="41" spans="1:15" ht="60" x14ac:dyDescent="0.25">
      <c r="A41" s="15" t="s">
        <v>122</v>
      </c>
      <c r="B41" s="16">
        <v>1098821595</v>
      </c>
      <c r="C41" s="16">
        <v>0</v>
      </c>
      <c r="D41" s="9" t="s">
        <v>182</v>
      </c>
      <c r="E41" s="16" t="s">
        <v>63</v>
      </c>
      <c r="F41" s="17">
        <v>45699</v>
      </c>
      <c r="G41" s="20">
        <v>45787</v>
      </c>
      <c r="H41" s="21">
        <v>15450000</v>
      </c>
      <c r="I41" s="21">
        <v>5150000</v>
      </c>
      <c r="J41" s="5">
        <f>3433333+5150000+1716667</f>
        <v>10300000</v>
      </c>
      <c r="K41" s="6">
        <f t="shared" si="4"/>
        <v>5150000</v>
      </c>
      <c r="L41" s="1">
        <f t="shared" si="5"/>
        <v>0.66666666666666674</v>
      </c>
      <c r="M41" s="14">
        <v>0</v>
      </c>
      <c r="N41" s="13">
        <v>0</v>
      </c>
      <c r="O41" s="9"/>
    </row>
    <row r="42" spans="1:15" ht="60" x14ac:dyDescent="0.25">
      <c r="A42" s="15" t="s">
        <v>123</v>
      </c>
      <c r="B42" s="16">
        <v>52708089</v>
      </c>
      <c r="C42" s="16">
        <v>4</v>
      </c>
      <c r="D42" s="9" t="s">
        <v>183</v>
      </c>
      <c r="E42" s="16" t="s">
        <v>64</v>
      </c>
      <c r="F42" s="17">
        <v>45699</v>
      </c>
      <c r="G42" s="20">
        <v>45787</v>
      </c>
      <c r="H42" s="21">
        <v>26265000</v>
      </c>
      <c r="I42" s="21">
        <v>8755000</v>
      </c>
      <c r="J42" s="5">
        <f>5836667+8755000+2918333</f>
        <v>17510000</v>
      </c>
      <c r="K42" s="6">
        <f t="shared" si="4"/>
        <v>8755000</v>
      </c>
      <c r="L42" s="1">
        <f t="shared" si="5"/>
        <v>0.66666666666666674</v>
      </c>
      <c r="M42" s="14">
        <v>0</v>
      </c>
      <c r="N42" s="13">
        <v>0</v>
      </c>
      <c r="O42" s="9"/>
    </row>
    <row r="43" spans="1:15" ht="60" x14ac:dyDescent="0.25">
      <c r="A43" s="15" t="s">
        <v>124</v>
      </c>
      <c r="B43" s="16">
        <v>1054990700</v>
      </c>
      <c r="C43" s="16">
        <v>1</v>
      </c>
      <c r="D43" s="9" t="s">
        <v>184</v>
      </c>
      <c r="E43" s="16" t="s">
        <v>65</v>
      </c>
      <c r="F43" s="17">
        <v>45699</v>
      </c>
      <c r="G43" s="20">
        <v>46022</v>
      </c>
      <c r="H43" s="21">
        <v>87893333</v>
      </c>
      <c r="I43" s="21">
        <v>8240000</v>
      </c>
      <c r="J43" s="5">
        <f>5493333+8240000+8240000+8240000+I43</f>
        <v>38453333</v>
      </c>
      <c r="K43" s="6">
        <f t="shared" si="4"/>
        <v>49440000</v>
      </c>
      <c r="L43" s="1">
        <f t="shared" si="5"/>
        <v>0.43749999786673244</v>
      </c>
      <c r="M43" s="14">
        <v>0</v>
      </c>
      <c r="N43" s="13">
        <v>0</v>
      </c>
      <c r="O43" s="9"/>
    </row>
    <row r="44" spans="1:15" ht="60" x14ac:dyDescent="0.25">
      <c r="A44" s="15" t="s">
        <v>125</v>
      </c>
      <c r="B44" s="16">
        <v>1100950750</v>
      </c>
      <c r="C44" s="16">
        <v>5</v>
      </c>
      <c r="D44" s="9" t="s">
        <v>185</v>
      </c>
      <c r="E44" s="16" t="s">
        <v>66</v>
      </c>
      <c r="F44" s="17">
        <v>45699</v>
      </c>
      <c r="G44" s="20">
        <v>45787</v>
      </c>
      <c r="H44" s="21">
        <v>23175000</v>
      </c>
      <c r="I44" s="21">
        <v>7725000</v>
      </c>
      <c r="J44" s="5">
        <f>5150000+7725000+7725000+2575000</f>
        <v>23175000</v>
      </c>
      <c r="K44" s="6">
        <f t="shared" si="4"/>
        <v>0</v>
      </c>
      <c r="L44" s="1">
        <f t="shared" si="5"/>
        <v>1</v>
      </c>
      <c r="M44" s="14">
        <v>0</v>
      </c>
      <c r="N44" s="13">
        <v>0</v>
      </c>
      <c r="O44" s="9"/>
    </row>
    <row r="45" spans="1:15" ht="60" x14ac:dyDescent="0.25">
      <c r="A45" s="15" t="s">
        <v>126</v>
      </c>
      <c r="B45" s="16">
        <v>1020822526</v>
      </c>
      <c r="C45" s="16">
        <v>3</v>
      </c>
      <c r="D45" s="9" t="s">
        <v>186</v>
      </c>
      <c r="E45" s="16" t="s">
        <v>67</v>
      </c>
      <c r="F45" s="17">
        <v>45699</v>
      </c>
      <c r="G45" s="20">
        <v>45757</v>
      </c>
      <c r="H45" s="21">
        <v>9270000</v>
      </c>
      <c r="I45" s="21">
        <v>4635000</v>
      </c>
      <c r="J45" s="5">
        <f>3090000+4635000+1545000</f>
        <v>9270000</v>
      </c>
      <c r="K45" s="6">
        <f t="shared" si="4"/>
        <v>0</v>
      </c>
      <c r="L45" s="1">
        <f t="shared" si="5"/>
        <v>1</v>
      </c>
      <c r="M45" s="14">
        <v>0</v>
      </c>
      <c r="N45" s="13">
        <v>0</v>
      </c>
      <c r="O45" s="9"/>
    </row>
    <row r="46" spans="1:15" ht="105" x14ac:dyDescent="0.25">
      <c r="A46" s="15" t="s">
        <v>127</v>
      </c>
      <c r="B46" s="16">
        <v>1140864226</v>
      </c>
      <c r="C46" s="16">
        <v>4</v>
      </c>
      <c r="D46" s="9" t="s">
        <v>187</v>
      </c>
      <c r="E46" s="16" t="s">
        <v>68</v>
      </c>
      <c r="F46" s="17">
        <v>45700</v>
      </c>
      <c r="G46" s="20">
        <v>45758</v>
      </c>
      <c r="H46" s="21">
        <v>16480000</v>
      </c>
      <c r="I46" s="21">
        <v>8240000</v>
      </c>
      <c r="J46" s="5">
        <f>5218667+8240000+3021333</f>
        <v>16480000</v>
      </c>
      <c r="K46" s="6">
        <f t="shared" si="4"/>
        <v>0</v>
      </c>
      <c r="L46" s="1">
        <f t="shared" si="5"/>
        <v>1</v>
      </c>
      <c r="M46" s="14">
        <v>0</v>
      </c>
      <c r="N46" s="13">
        <v>0</v>
      </c>
      <c r="O46" s="9"/>
    </row>
    <row r="47" spans="1:15" ht="75" x14ac:dyDescent="0.25">
      <c r="A47" s="15" t="s">
        <v>128</v>
      </c>
      <c r="B47" s="16">
        <v>1033738130</v>
      </c>
      <c r="C47" s="16">
        <v>9</v>
      </c>
      <c r="D47" s="9" t="s">
        <v>188</v>
      </c>
      <c r="E47" s="16" t="s">
        <v>69</v>
      </c>
      <c r="F47" s="17">
        <v>45701</v>
      </c>
      <c r="G47" s="20">
        <v>45759</v>
      </c>
      <c r="H47" s="21">
        <v>16480000</v>
      </c>
      <c r="I47" s="21">
        <v>8240000</v>
      </c>
      <c r="J47" s="5">
        <f>4944000+11536000</f>
        <v>16480000</v>
      </c>
      <c r="K47" s="6">
        <f t="shared" si="4"/>
        <v>0</v>
      </c>
      <c r="L47" s="1">
        <f t="shared" si="5"/>
        <v>1</v>
      </c>
      <c r="M47" s="14">
        <v>0</v>
      </c>
      <c r="N47" s="13">
        <v>0</v>
      </c>
      <c r="O47" s="9"/>
    </row>
    <row r="48" spans="1:15" ht="60" x14ac:dyDescent="0.25">
      <c r="A48" s="15" t="s">
        <v>129</v>
      </c>
      <c r="B48" s="16">
        <v>79280777</v>
      </c>
      <c r="C48" s="16">
        <v>1</v>
      </c>
      <c r="D48" s="9" t="s">
        <v>189</v>
      </c>
      <c r="E48" s="16" t="s">
        <v>70</v>
      </c>
      <c r="F48" s="17">
        <v>45701</v>
      </c>
      <c r="G48" s="20">
        <v>46022</v>
      </c>
      <c r="H48" s="21">
        <v>109180000</v>
      </c>
      <c r="I48" s="21">
        <v>10300000</v>
      </c>
      <c r="J48" s="5">
        <f>6180000+10300000+10300000+I48</f>
        <v>37080000</v>
      </c>
      <c r="K48" s="6">
        <f t="shared" si="4"/>
        <v>72100000</v>
      </c>
      <c r="L48" s="1">
        <f t="shared" si="5"/>
        <v>0.339622641509434</v>
      </c>
      <c r="M48" s="14">
        <v>0</v>
      </c>
      <c r="N48" s="13">
        <v>0</v>
      </c>
      <c r="O48" s="9"/>
    </row>
    <row r="49" spans="1:15" ht="105" x14ac:dyDescent="0.25">
      <c r="A49" s="15" t="s">
        <v>130</v>
      </c>
      <c r="B49" s="16">
        <v>37555335</v>
      </c>
      <c r="C49" s="16">
        <v>9</v>
      </c>
      <c r="D49" s="9" t="s">
        <v>190</v>
      </c>
      <c r="E49" s="16" t="s">
        <v>71</v>
      </c>
      <c r="F49" s="17">
        <v>45700</v>
      </c>
      <c r="G49" s="20">
        <v>45758</v>
      </c>
      <c r="H49" s="21">
        <v>17510000</v>
      </c>
      <c r="I49" s="21">
        <v>8755000</v>
      </c>
      <c r="J49" s="5">
        <f>5544833+8755000+3210167</f>
        <v>17510000</v>
      </c>
      <c r="K49" s="6">
        <f t="shared" si="4"/>
        <v>0</v>
      </c>
      <c r="L49" s="1">
        <f t="shared" si="5"/>
        <v>1</v>
      </c>
      <c r="M49" s="14">
        <v>0</v>
      </c>
      <c r="N49" s="13">
        <v>0</v>
      </c>
      <c r="O49" s="9"/>
    </row>
    <row r="50" spans="1:15" ht="60" x14ac:dyDescent="0.25">
      <c r="A50" s="15" t="s">
        <v>131</v>
      </c>
      <c r="B50" s="16">
        <v>1128431117</v>
      </c>
      <c r="C50" s="16">
        <v>8</v>
      </c>
      <c r="D50" s="9" t="s">
        <v>191</v>
      </c>
      <c r="E50" s="16" t="s">
        <v>72</v>
      </c>
      <c r="F50" s="17">
        <v>45699</v>
      </c>
      <c r="G50" s="20">
        <v>45787</v>
      </c>
      <c r="H50" s="21">
        <v>11124000</v>
      </c>
      <c r="I50" s="21">
        <v>3708000</v>
      </c>
      <c r="J50" s="5">
        <f>2472000+3708000+1236000</f>
        <v>7416000</v>
      </c>
      <c r="K50" s="6">
        <f t="shared" si="4"/>
        <v>3708000</v>
      </c>
      <c r="L50" s="1">
        <f t="shared" si="5"/>
        <v>0.66666666666666674</v>
      </c>
      <c r="M50" s="14">
        <v>0</v>
      </c>
      <c r="N50" s="13">
        <v>0</v>
      </c>
      <c r="O50" s="9"/>
    </row>
    <row r="51" spans="1:15" ht="105" x14ac:dyDescent="0.25">
      <c r="A51" s="15" t="s">
        <v>132</v>
      </c>
      <c r="B51" s="16">
        <v>79509918</v>
      </c>
      <c r="C51" s="16">
        <v>1</v>
      </c>
      <c r="D51" s="9" t="s">
        <v>192</v>
      </c>
      <c r="E51" s="16" t="s">
        <v>73</v>
      </c>
      <c r="F51" s="17">
        <v>45700</v>
      </c>
      <c r="G51" s="20">
        <v>45787</v>
      </c>
      <c r="H51" s="21">
        <v>13905000</v>
      </c>
      <c r="I51" s="21">
        <v>4635000</v>
      </c>
      <c r="J51" s="5">
        <f>2935500+4635000+4635000+1699500</f>
        <v>13905000</v>
      </c>
      <c r="K51" s="6">
        <f t="shared" si="4"/>
        <v>0</v>
      </c>
      <c r="L51" s="1">
        <f t="shared" si="5"/>
        <v>1</v>
      </c>
      <c r="M51" s="14">
        <v>0</v>
      </c>
      <c r="N51" s="13">
        <v>0</v>
      </c>
      <c r="O51" s="9"/>
    </row>
    <row r="52" spans="1:15" ht="75" x14ac:dyDescent="0.25">
      <c r="A52" s="15" t="s">
        <v>133</v>
      </c>
      <c r="B52" s="16">
        <v>1022392990</v>
      </c>
      <c r="C52" s="16">
        <v>9</v>
      </c>
      <c r="D52" s="9" t="s">
        <v>193</v>
      </c>
      <c r="E52" s="16" t="s">
        <v>74</v>
      </c>
      <c r="F52" s="17">
        <v>45702</v>
      </c>
      <c r="G52" s="20">
        <v>45790</v>
      </c>
      <c r="H52" s="21">
        <v>9900000</v>
      </c>
      <c r="I52" s="21">
        <v>3300000</v>
      </c>
      <c r="J52" s="5">
        <f>1870000+3300000+3300000+1430000</f>
        <v>9900000</v>
      </c>
      <c r="K52" s="6">
        <f t="shared" si="4"/>
        <v>0</v>
      </c>
      <c r="L52" s="1">
        <f t="shared" si="5"/>
        <v>1</v>
      </c>
      <c r="M52" s="14">
        <v>0</v>
      </c>
      <c r="N52" s="13">
        <v>0</v>
      </c>
      <c r="O52" s="9"/>
    </row>
    <row r="53" spans="1:15" ht="90" x14ac:dyDescent="0.25">
      <c r="A53" s="15" t="s">
        <v>134</v>
      </c>
      <c r="B53" s="16">
        <v>1070948522</v>
      </c>
      <c r="C53" s="16">
        <v>8</v>
      </c>
      <c r="D53" s="9" t="s">
        <v>194</v>
      </c>
      <c r="E53" s="16" t="s">
        <v>75</v>
      </c>
      <c r="F53" s="17">
        <v>45702</v>
      </c>
      <c r="G53" s="20">
        <v>45759</v>
      </c>
      <c r="H53" s="21">
        <v>13390000</v>
      </c>
      <c r="I53" s="21">
        <v>6695000</v>
      </c>
      <c r="J53" s="5">
        <f>3793833+6695000+2901167</f>
        <v>13390000</v>
      </c>
      <c r="K53" s="6">
        <f t="shared" si="4"/>
        <v>0</v>
      </c>
      <c r="L53" s="1">
        <f t="shared" si="5"/>
        <v>1</v>
      </c>
      <c r="M53" s="14">
        <v>0</v>
      </c>
      <c r="N53" s="13">
        <v>0</v>
      </c>
      <c r="O53" s="9"/>
    </row>
    <row r="54" spans="1:15" ht="60" x14ac:dyDescent="0.25">
      <c r="A54" s="15" t="s">
        <v>135</v>
      </c>
      <c r="B54" s="16">
        <v>1024600527</v>
      </c>
      <c r="C54" s="16">
        <v>2</v>
      </c>
      <c r="D54" s="9" t="s">
        <v>195</v>
      </c>
      <c r="E54" s="16" t="s">
        <v>76</v>
      </c>
      <c r="F54" s="17">
        <v>45712</v>
      </c>
      <c r="G54" s="20">
        <v>45800</v>
      </c>
      <c r="H54" s="21">
        <v>9900000</v>
      </c>
      <c r="I54" s="21">
        <v>3300000</v>
      </c>
      <c r="J54" s="5">
        <f>770000+3300000+3300000+2530000</f>
        <v>9900000</v>
      </c>
      <c r="K54" s="6">
        <f t="shared" si="4"/>
        <v>0</v>
      </c>
      <c r="L54" s="1">
        <f t="shared" si="5"/>
        <v>1</v>
      </c>
      <c r="M54" s="14">
        <v>0</v>
      </c>
      <c r="N54" s="13">
        <v>0</v>
      </c>
      <c r="O54" s="9"/>
    </row>
    <row r="55" spans="1:15" ht="75" x14ac:dyDescent="0.25">
      <c r="A55" s="15" t="s">
        <v>136</v>
      </c>
      <c r="B55" s="16">
        <v>1066182876</v>
      </c>
      <c r="C55" s="16">
        <v>6</v>
      </c>
      <c r="D55" s="9" t="s">
        <v>196</v>
      </c>
      <c r="E55" s="16" t="s">
        <v>77</v>
      </c>
      <c r="F55" s="17">
        <v>45701</v>
      </c>
      <c r="G55" s="20">
        <v>46022</v>
      </c>
      <c r="H55" s="21">
        <v>92803000</v>
      </c>
      <c r="I55" s="21">
        <v>8755000</v>
      </c>
      <c r="J55" s="5">
        <f>5253000+8755000+8755000+8755000+I55</f>
        <v>40273000</v>
      </c>
      <c r="K55" s="6">
        <f t="shared" si="4"/>
        <v>52530000</v>
      </c>
      <c r="L55" s="1">
        <f t="shared" si="5"/>
        <v>0.43396226415094341</v>
      </c>
      <c r="M55" s="14">
        <v>0</v>
      </c>
      <c r="N55" s="13">
        <v>0</v>
      </c>
      <c r="O55" s="9"/>
    </row>
    <row r="56" spans="1:15" ht="90" x14ac:dyDescent="0.25">
      <c r="A56" s="15" t="s">
        <v>137</v>
      </c>
      <c r="B56" s="16">
        <v>1049628701</v>
      </c>
      <c r="C56" s="16">
        <v>0</v>
      </c>
      <c r="D56" s="9" t="s">
        <v>197</v>
      </c>
      <c r="E56" s="16" t="s">
        <v>78</v>
      </c>
      <c r="F56" s="17">
        <v>45702</v>
      </c>
      <c r="G56" s="20">
        <v>45943</v>
      </c>
      <c r="H56" s="21">
        <v>70040000</v>
      </c>
      <c r="I56" s="21">
        <v>8755000</v>
      </c>
      <c r="J56" s="5">
        <f>4961167+8755000+8755000+I56</f>
        <v>31226167</v>
      </c>
      <c r="K56" s="6">
        <f t="shared" si="4"/>
        <v>38813833</v>
      </c>
      <c r="L56" s="1">
        <f t="shared" si="5"/>
        <v>0.44583333809251857</v>
      </c>
      <c r="M56" s="14">
        <v>0</v>
      </c>
      <c r="N56" s="13">
        <v>0</v>
      </c>
      <c r="O56" s="9"/>
    </row>
    <row r="57" spans="1:15" ht="90" x14ac:dyDescent="0.25">
      <c r="A57" s="15" t="s">
        <v>138</v>
      </c>
      <c r="B57" s="16">
        <v>1070918764</v>
      </c>
      <c r="C57" s="16">
        <v>5</v>
      </c>
      <c r="D57" s="9" t="s">
        <v>198</v>
      </c>
      <c r="E57" s="16" t="s">
        <v>79</v>
      </c>
      <c r="F57" s="17">
        <v>45701</v>
      </c>
      <c r="G57" s="20">
        <v>45789</v>
      </c>
      <c r="H57" s="21">
        <v>13905000</v>
      </c>
      <c r="I57" s="21">
        <v>4635000</v>
      </c>
      <c r="J57" s="5">
        <f>2781000+4635000+1854000</f>
        <v>9270000</v>
      </c>
      <c r="K57" s="6">
        <f t="shared" si="4"/>
        <v>4635000</v>
      </c>
      <c r="L57" s="1">
        <f t="shared" si="5"/>
        <v>0.66666666666666674</v>
      </c>
      <c r="M57" s="14">
        <v>0</v>
      </c>
      <c r="N57" s="13">
        <v>0</v>
      </c>
      <c r="O57" s="9"/>
    </row>
    <row r="58" spans="1:15" ht="90" x14ac:dyDescent="0.25">
      <c r="A58" s="15" t="s">
        <v>139</v>
      </c>
      <c r="B58" s="16">
        <v>79595486</v>
      </c>
      <c r="C58" s="16">
        <v>6</v>
      </c>
      <c r="D58" s="9" t="s">
        <v>199</v>
      </c>
      <c r="E58" s="16" t="s">
        <v>80</v>
      </c>
      <c r="F58" s="17">
        <v>45701</v>
      </c>
      <c r="G58" s="20">
        <v>45760</v>
      </c>
      <c r="H58" s="21">
        <v>17510000</v>
      </c>
      <c r="I58" s="21">
        <v>8755000</v>
      </c>
      <c r="J58" s="5">
        <v>5253000</v>
      </c>
      <c r="K58" s="6">
        <f t="shared" si="4"/>
        <v>12257000</v>
      </c>
      <c r="L58" s="1">
        <f t="shared" si="5"/>
        <v>0.30000000000000004</v>
      </c>
      <c r="M58" s="14">
        <v>0</v>
      </c>
      <c r="N58" s="13">
        <v>0</v>
      </c>
      <c r="O58" s="9"/>
    </row>
    <row r="59" spans="1:15" ht="75" x14ac:dyDescent="0.25">
      <c r="A59" s="15" t="s">
        <v>140</v>
      </c>
      <c r="B59" s="16">
        <v>1030656140</v>
      </c>
      <c r="C59" s="16">
        <v>9</v>
      </c>
      <c r="D59" s="9" t="s">
        <v>200</v>
      </c>
      <c r="E59" s="16" t="s">
        <v>81</v>
      </c>
      <c r="F59" s="17">
        <v>45708</v>
      </c>
      <c r="G59" s="20">
        <v>45766</v>
      </c>
      <c r="H59" s="21">
        <v>13390000</v>
      </c>
      <c r="I59" s="21">
        <v>6695000</v>
      </c>
      <c r="J59" s="5">
        <f>2564833+10825167</f>
        <v>13390000</v>
      </c>
      <c r="K59" s="6">
        <f t="shared" si="4"/>
        <v>0</v>
      </c>
      <c r="L59" s="1">
        <f t="shared" si="5"/>
        <v>1</v>
      </c>
      <c r="M59" s="14">
        <v>0</v>
      </c>
      <c r="N59" s="13">
        <v>0</v>
      </c>
      <c r="O59" s="9"/>
    </row>
    <row r="60" spans="1:15" ht="75" x14ac:dyDescent="0.25">
      <c r="A60" s="15" t="s">
        <v>141</v>
      </c>
      <c r="B60" s="16">
        <v>52372465</v>
      </c>
      <c r="C60" s="16">
        <v>6</v>
      </c>
      <c r="D60" s="9" t="s">
        <v>201</v>
      </c>
      <c r="E60" s="16" t="s">
        <v>82</v>
      </c>
      <c r="F60" s="17">
        <v>45701</v>
      </c>
      <c r="G60" s="20">
        <v>45789</v>
      </c>
      <c r="H60" s="21">
        <v>9900000</v>
      </c>
      <c r="I60" s="21">
        <v>3300000</v>
      </c>
      <c r="J60" s="5">
        <f>1980000+3300000+3300000</f>
        <v>8580000</v>
      </c>
      <c r="K60" s="6">
        <f t="shared" si="4"/>
        <v>1320000</v>
      </c>
      <c r="L60" s="1">
        <f t="shared" si="5"/>
        <v>0.8666666666666667</v>
      </c>
      <c r="M60" s="14">
        <v>0</v>
      </c>
      <c r="N60" s="13">
        <v>0</v>
      </c>
      <c r="O60" s="9"/>
    </row>
    <row r="61" spans="1:15" ht="75" x14ac:dyDescent="0.25">
      <c r="A61" s="15" t="s">
        <v>142</v>
      </c>
      <c r="B61" s="16">
        <v>79640179</v>
      </c>
      <c r="C61" s="16">
        <v>2</v>
      </c>
      <c r="D61" s="9" t="s">
        <v>202</v>
      </c>
      <c r="E61" s="16" t="s">
        <v>83</v>
      </c>
      <c r="F61" s="17">
        <v>45709</v>
      </c>
      <c r="G61" s="20">
        <v>45767</v>
      </c>
      <c r="H61" s="21">
        <v>16480000</v>
      </c>
      <c r="I61" s="21">
        <v>8240000</v>
      </c>
      <c r="J61" s="5">
        <f>3021333+8240000</f>
        <v>11261333</v>
      </c>
      <c r="K61" s="6">
        <f t="shared" si="4"/>
        <v>5218667</v>
      </c>
      <c r="L61" s="1">
        <f t="shared" si="5"/>
        <v>0.68333331310679613</v>
      </c>
      <c r="M61" s="14">
        <v>0</v>
      </c>
      <c r="N61" s="13">
        <v>0</v>
      </c>
      <c r="O61" s="9"/>
    </row>
    <row r="62" spans="1:15" ht="45" x14ac:dyDescent="0.25">
      <c r="A62" s="15" t="s">
        <v>143</v>
      </c>
      <c r="B62" s="16">
        <v>79985524</v>
      </c>
      <c r="C62" s="16">
        <v>1</v>
      </c>
      <c r="D62" s="9" t="s">
        <v>203</v>
      </c>
      <c r="E62" s="16" t="s">
        <v>84</v>
      </c>
      <c r="F62" s="17">
        <v>45702</v>
      </c>
      <c r="G62" s="20">
        <v>45760</v>
      </c>
      <c r="H62" s="21">
        <v>6600000</v>
      </c>
      <c r="I62" s="21">
        <v>3300000</v>
      </c>
      <c r="J62" s="5">
        <f>1870000+3300000+1430000</f>
        <v>6600000</v>
      </c>
      <c r="K62" s="6">
        <f t="shared" si="4"/>
        <v>0</v>
      </c>
      <c r="L62" s="1">
        <f t="shared" si="5"/>
        <v>1</v>
      </c>
      <c r="M62" s="14">
        <v>0</v>
      </c>
      <c r="N62" s="13">
        <v>0</v>
      </c>
      <c r="O62" s="9"/>
    </row>
    <row r="63" spans="1:15" ht="45" x14ac:dyDescent="0.25">
      <c r="A63" s="15" t="s">
        <v>144</v>
      </c>
      <c r="B63" s="16">
        <v>1022374419</v>
      </c>
      <c r="C63" s="16">
        <v>8</v>
      </c>
      <c r="D63" s="9" t="s">
        <v>204</v>
      </c>
      <c r="E63" s="16" t="s">
        <v>85</v>
      </c>
      <c r="F63" s="17">
        <v>45709</v>
      </c>
      <c r="G63" s="20">
        <v>45802</v>
      </c>
      <c r="H63" s="21">
        <v>26265000</v>
      </c>
      <c r="I63" s="21">
        <v>8755000</v>
      </c>
      <c r="J63" s="5">
        <f>2918333+I63+8755000+5836667</f>
        <v>26265000</v>
      </c>
      <c r="K63" s="6">
        <f t="shared" si="4"/>
        <v>0</v>
      </c>
      <c r="L63" s="1">
        <f t="shared" si="5"/>
        <v>1</v>
      </c>
      <c r="M63" s="14">
        <v>0</v>
      </c>
      <c r="N63" s="13">
        <v>0</v>
      </c>
      <c r="O63" s="9"/>
    </row>
    <row r="64" spans="1:15" ht="90" x14ac:dyDescent="0.25">
      <c r="A64" s="15" t="s">
        <v>145</v>
      </c>
      <c r="B64" s="16">
        <v>1000515195</v>
      </c>
      <c r="C64" s="16">
        <v>1</v>
      </c>
      <c r="D64" s="9" t="s">
        <v>205</v>
      </c>
      <c r="E64" s="16" t="s">
        <v>86</v>
      </c>
      <c r="F64" s="17">
        <v>45712</v>
      </c>
      <c r="G64" s="20">
        <v>45800</v>
      </c>
      <c r="H64" s="21">
        <v>13905000</v>
      </c>
      <c r="I64" s="21">
        <v>4635000</v>
      </c>
      <c r="J64" s="5">
        <f>1081500+I64+4635000+3553500</f>
        <v>13905000</v>
      </c>
      <c r="K64" s="6">
        <f t="shared" si="4"/>
        <v>0</v>
      </c>
      <c r="L64" s="1">
        <f t="shared" si="5"/>
        <v>1</v>
      </c>
      <c r="M64" s="14">
        <v>0</v>
      </c>
      <c r="N64" s="13">
        <v>0</v>
      </c>
      <c r="O64" s="9"/>
    </row>
    <row r="65" spans="1:15" ht="60" x14ac:dyDescent="0.25">
      <c r="A65" s="15" t="s">
        <v>146</v>
      </c>
      <c r="B65" s="16">
        <v>1085309502</v>
      </c>
      <c r="C65" s="16">
        <v>4</v>
      </c>
      <c r="D65" s="9" t="s">
        <v>206</v>
      </c>
      <c r="E65" s="16" t="s">
        <v>87</v>
      </c>
      <c r="F65" s="17">
        <v>45707</v>
      </c>
      <c r="G65" s="20">
        <v>45765</v>
      </c>
      <c r="H65" s="21">
        <v>8549000</v>
      </c>
      <c r="I65" s="21">
        <v>4274500</v>
      </c>
      <c r="J65" s="5">
        <f>1709800+I65+2564700</f>
        <v>8549000</v>
      </c>
      <c r="K65" s="6">
        <f t="shared" si="4"/>
        <v>0</v>
      </c>
      <c r="L65" s="1">
        <f t="shared" si="5"/>
        <v>1</v>
      </c>
      <c r="M65" s="14">
        <v>0</v>
      </c>
      <c r="N65" s="13">
        <v>0</v>
      </c>
      <c r="O65" s="9"/>
    </row>
    <row r="66" spans="1:15" ht="75" x14ac:dyDescent="0.25">
      <c r="A66" s="15" t="s">
        <v>239</v>
      </c>
      <c r="B66" s="16">
        <v>1014267307</v>
      </c>
      <c r="C66" s="16">
        <v>4</v>
      </c>
      <c r="D66" s="9" t="s">
        <v>237</v>
      </c>
      <c r="E66" s="16" t="s">
        <v>238</v>
      </c>
      <c r="F66" s="17">
        <v>45719</v>
      </c>
      <c r="G66" s="20">
        <v>45810</v>
      </c>
      <c r="H66" s="21">
        <v>9900000</v>
      </c>
      <c r="I66" s="21">
        <v>3300000</v>
      </c>
      <c r="J66" s="5">
        <f>I66+3080000+3300000+3300000+220000</f>
        <v>13200000</v>
      </c>
      <c r="K66" s="6">
        <f t="shared" si="4"/>
        <v>-3300000</v>
      </c>
      <c r="L66" s="1">
        <f t="shared" ref="L66" si="6">1-(K66/H66)</f>
        <v>1.3333333333333333</v>
      </c>
      <c r="M66" s="14">
        <v>0</v>
      </c>
      <c r="N66" s="13">
        <v>0</v>
      </c>
      <c r="O66" s="9"/>
    </row>
    <row r="67" spans="1:15" ht="45" x14ac:dyDescent="0.25">
      <c r="A67" s="15" t="s">
        <v>147</v>
      </c>
      <c r="B67" s="16">
        <v>53081081</v>
      </c>
      <c r="C67" s="16">
        <v>6</v>
      </c>
      <c r="D67" s="9" t="s">
        <v>207</v>
      </c>
      <c r="E67" s="16" t="s">
        <v>88</v>
      </c>
      <c r="F67" s="17">
        <v>45706</v>
      </c>
      <c r="G67" s="20">
        <v>45763</v>
      </c>
      <c r="H67" s="21">
        <v>13390000</v>
      </c>
      <c r="I67" s="21">
        <v>6695000</v>
      </c>
      <c r="J67" s="5">
        <f>2901167+I67+3793833</f>
        <v>13390000</v>
      </c>
      <c r="K67" s="6">
        <f t="shared" si="4"/>
        <v>0</v>
      </c>
      <c r="L67" s="1">
        <f t="shared" si="5"/>
        <v>1</v>
      </c>
      <c r="M67" s="14">
        <v>0</v>
      </c>
      <c r="N67" s="13">
        <v>0</v>
      </c>
      <c r="O67" s="9"/>
    </row>
    <row r="68" spans="1:15" ht="60" x14ac:dyDescent="0.25">
      <c r="A68" s="15" t="s">
        <v>148</v>
      </c>
      <c r="B68" s="16">
        <v>1023902292</v>
      </c>
      <c r="C68" s="16">
        <v>1</v>
      </c>
      <c r="D68" s="9" t="s">
        <v>208</v>
      </c>
      <c r="E68" s="16" t="s">
        <v>89</v>
      </c>
      <c r="F68" s="17">
        <v>45707</v>
      </c>
      <c r="G68" s="20">
        <v>45795</v>
      </c>
      <c r="H68" s="21">
        <v>23175000</v>
      </c>
      <c r="I68" s="21">
        <v>7725000</v>
      </c>
      <c r="J68" s="5">
        <f>3090000+I68+7725000+4635000</f>
        <v>23175000</v>
      </c>
      <c r="K68" s="6">
        <f t="shared" si="4"/>
        <v>0</v>
      </c>
      <c r="L68" s="1">
        <f t="shared" si="5"/>
        <v>1</v>
      </c>
      <c r="M68" s="14">
        <v>0</v>
      </c>
      <c r="N68" s="13">
        <v>0</v>
      </c>
      <c r="O68" s="9"/>
    </row>
    <row r="69" spans="1:15" ht="45" x14ac:dyDescent="0.25">
      <c r="A69" s="15" t="s">
        <v>149</v>
      </c>
      <c r="B69" s="16">
        <v>1070956438</v>
      </c>
      <c r="C69" s="16">
        <v>0</v>
      </c>
      <c r="D69" s="9" t="s">
        <v>209</v>
      </c>
      <c r="E69" s="16" t="s">
        <v>90</v>
      </c>
      <c r="F69" s="17">
        <v>45707</v>
      </c>
      <c r="G69" s="20">
        <v>45795</v>
      </c>
      <c r="H69" s="21">
        <v>23175000</v>
      </c>
      <c r="I69" s="21">
        <v>7725000</v>
      </c>
      <c r="J69" s="5">
        <f>3090000+I69+7725000+4635000</f>
        <v>23175000</v>
      </c>
      <c r="K69" s="6">
        <f t="shared" si="4"/>
        <v>0</v>
      </c>
      <c r="L69" s="1">
        <f t="shared" si="5"/>
        <v>1</v>
      </c>
      <c r="M69" s="14">
        <v>0</v>
      </c>
      <c r="N69" s="13">
        <v>0</v>
      </c>
      <c r="O69" s="9"/>
    </row>
    <row r="70" spans="1:15" ht="60" x14ac:dyDescent="0.25">
      <c r="A70" s="15" t="s">
        <v>150</v>
      </c>
      <c r="B70" s="16">
        <v>80097030</v>
      </c>
      <c r="C70" s="16">
        <v>9</v>
      </c>
      <c r="D70" s="9" t="s">
        <v>210</v>
      </c>
      <c r="E70" s="16" t="s">
        <v>91</v>
      </c>
      <c r="F70" s="17">
        <v>45709</v>
      </c>
      <c r="G70" s="20">
        <v>46022</v>
      </c>
      <c r="H70" s="21">
        <v>90468333</v>
      </c>
      <c r="I70" s="21">
        <v>8755000</v>
      </c>
      <c r="J70" s="5">
        <f>I70+2918333+8755000+8755000+I70</f>
        <v>37938333</v>
      </c>
      <c r="K70" s="6">
        <f t="shared" si="4"/>
        <v>52530000</v>
      </c>
      <c r="L70" s="1">
        <f t="shared" si="5"/>
        <v>0.41935483657027262</v>
      </c>
      <c r="M70" s="14">
        <v>0</v>
      </c>
      <c r="N70" s="13">
        <v>0</v>
      </c>
      <c r="O70" s="9"/>
    </row>
    <row r="71" spans="1:15" ht="75" x14ac:dyDescent="0.25">
      <c r="A71" s="15" t="s">
        <v>151</v>
      </c>
      <c r="B71" s="16">
        <v>13362123</v>
      </c>
      <c r="C71" s="16">
        <v>8</v>
      </c>
      <c r="D71" s="9" t="s">
        <v>211</v>
      </c>
      <c r="E71" s="16" t="s">
        <v>92</v>
      </c>
      <c r="F71" s="17">
        <v>45708</v>
      </c>
      <c r="G71" s="20">
        <v>46022</v>
      </c>
      <c r="H71" s="21">
        <v>90760167</v>
      </c>
      <c r="I71" s="21">
        <v>8755000</v>
      </c>
      <c r="J71" s="5">
        <f>I71+3210167+8755000+8755000+I71</f>
        <v>38230167</v>
      </c>
      <c r="K71" s="6">
        <f t="shared" si="4"/>
        <v>52530000</v>
      </c>
      <c r="L71" s="1">
        <f t="shared" si="5"/>
        <v>0.42122186707743714</v>
      </c>
      <c r="M71" s="14">
        <v>0</v>
      </c>
      <c r="N71" s="13">
        <v>0</v>
      </c>
      <c r="O71" s="9"/>
    </row>
    <row r="72" spans="1:15" ht="75" x14ac:dyDescent="0.25">
      <c r="A72" s="15" t="s">
        <v>152</v>
      </c>
      <c r="B72" s="16">
        <v>1022422640</v>
      </c>
      <c r="C72" s="16">
        <v>6</v>
      </c>
      <c r="D72" s="9" t="s">
        <v>212</v>
      </c>
      <c r="E72" s="16" t="s">
        <v>93</v>
      </c>
      <c r="F72" s="17">
        <v>45709</v>
      </c>
      <c r="G72" s="20">
        <v>45797</v>
      </c>
      <c r="H72" s="21">
        <v>9240000</v>
      </c>
      <c r="I72" s="21">
        <v>3300000</v>
      </c>
      <c r="J72" s="5">
        <f>1100000+3300000+3300000+1540000+1540000</f>
        <v>10780000</v>
      </c>
      <c r="K72" s="6">
        <f>H72-J72</f>
        <v>-1540000</v>
      </c>
      <c r="L72" s="1">
        <f t="shared" si="5"/>
        <v>1.1666666666666667</v>
      </c>
      <c r="M72" s="14">
        <v>1</v>
      </c>
      <c r="N72" s="13">
        <v>0</v>
      </c>
      <c r="O72" s="9" t="s">
        <v>377</v>
      </c>
    </row>
    <row r="73" spans="1:15" ht="90" x14ac:dyDescent="0.25">
      <c r="A73" s="15" t="s">
        <v>153</v>
      </c>
      <c r="B73" s="16">
        <v>1090428817</v>
      </c>
      <c r="C73" s="16">
        <v>7</v>
      </c>
      <c r="D73" s="9" t="s">
        <v>213</v>
      </c>
      <c r="E73" s="16" t="s">
        <v>94</v>
      </c>
      <c r="F73" s="17">
        <v>45709</v>
      </c>
      <c r="G73" s="20">
        <v>45797</v>
      </c>
      <c r="H73" s="21">
        <v>13905000</v>
      </c>
      <c r="I73" s="21">
        <v>4635000</v>
      </c>
      <c r="J73" s="5">
        <f>1545000+4635000+4635000+2163000</f>
        <v>12978000</v>
      </c>
      <c r="K73" s="6">
        <f t="shared" si="4"/>
        <v>927000</v>
      </c>
      <c r="L73" s="1">
        <f t="shared" si="5"/>
        <v>0.93333333333333335</v>
      </c>
      <c r="M73" s="14">
        <v>0</v>
      </c>
      <c r="N73" s="13">
        <v>0</v>
      </c>
      <c r="O73" s="9"/>
    </row>
    <row r="74" spans="1:15" ht="45" x14ac:dyDescent="0.25">
      <c r="A74" s="15" t="s">
        <v>154</v>
      </c>
      <c r="B74" s="16">
        <v>1101873530</v>
      </c>
      <c r="C74" s="16">
        <v>5</v>
      </c>
      <c r="D74" s="9" t="s">
        <v>214</v>
      </c>
      <c r="E74" s="16" t="s">
        <v>95</v>
      </c>
      <c r="F74" s="17">
        <v>45709</v>
      </c>
      <c r="G74" s="20">
        <v>46022</v>
      </c>
      <c r="H74" s="21">
        <v>34100000</v>
      </c>
      <c r="I74" s="21">
        <v>3300000</v>
      </c>
      <c r="J74" s="5">
        <f>1100000+I74+3300000+3300000+I74</f>
        <v>14300000</v>
      </c>
      <c r="K74" s="6">
        <f t="shared" si="4"/>
        <v>19800000</v>
      </c>
      <c r="L74" s="1">
        <f t="shared" si="5"/>
        <v>0.41935483870967738</v>
      </c>
      <c r="M74" s="14">
        <v>0</v>
      </c>
      <c r="N74" s="13">
        <v>0</v>
      </c>
      <c r="O74" s="9"/>
    </row>
    <row r="75" spans="1:15" ht="105" x14ac:dyDescent="0.25">
      <c r="A75" s="15" t="s">
        <v>155</v>
      </c>
      <c r="B75" s="16">
        <v>60344235</v>
      </c>
      <c r="C75" s="16">
        <v>9</v>
      </c>
      <c r="D75" s="9" t="s">
        <v>215</v>
      </c>
      <c r="E75" s="16" t="s">
        <v>96</v>
      </c>
      <c r="F75" s="17">
        <v>45709</v>
      </c>
      <c r="G75" s="20">
        <v>45767</v>
      </c>
      <c r="H75" s="21">
        <v>15450000</v>
      </c>
      <c r="I75" s="21">
        <v>7725000</v>
      </c>
      <c r="J75" s="5">
        <f>2575000+I75+5150000</f>
        <v>15450000</v>
      </c>
      <c r="K75" s="6">
        <f t="shared" si="4"/>
        <v>0</v>
      </c>
      <c r="L75" s="1">
        <f t="shared" si="5"/>
        <v>1</v>
      </c>
      <c r="M75" s="14">
        <v>0</v>
      </c>
      <c r="N75" s="13">
        <v>0</v>
      </c>
      <c r="O75" s="9"/>
    </row>
    <row r="76" spans="1:15" ht="75" x14ac:dyDescent="0.25">
      <c r="A76" s="15" t="s">
        <v>156</v>
      </c>
      <c r="B76" s="16">
        <v>1010218439</v>
      </c>
      <c r="C76" s="16">
        <v>4</v>
      </c>
      <c r="D76" s="9" t="s">
        <v>216</v>
      </c>
      <c r="E76" s="16" t="s">
        <v>97</v>
      </c>
      <c r="F76" s="17">
        <v>45709</v>
      </c>
      <c r="G76" s="20">
        <v>45767</v>
      </c>
      <c r="H76" s="21">
        <v>15450000</v>
      </c>
      <c r="I76" s="21">
        <v>7725000</v>
      </c>
      <c r="J76" s="5">
        <f>2575000+I76+5150000</f>
        <v>15450000</v>
      </c>
      <c r="K76" s="6">
        <f t="shared" si="4"/>
        <v>0</v>
      </c>
      <c r="L76" s="1">
        <f t="shared" si="5"/>
        <v>1</v>
      </c>
      <c r="M76" s="14">
        <v>0</v>
      </c>
      <c r="N76" s="13">
        <v>0</v>
      </c>
      <c r="O76" s="9"/>
    </row>
    <row r="77" spans="1:15" ht="75" x14ac:dyDescent="0.25">
      <c r="A77" s="15" t="s">
        <v>157</v>
      </c>
      <c r="B77" s="16">
        <v>52996334</v>
      </c>
      <c r="C77" s="16">
        <v>8</v>
      </c>
      <c r="D77" s="9" t="s">
        <v>217</v>
      </c>
      <c r="E77" s="16" t="s">
        <v>98</v>
      </c>
      <c r="F77" s="17">
        <v>45712</v>
      </c>
      <c r="G77" s="20">
        <v>45770</v>
      </c>
      <c r="H77" s="21">
        <v>17510000</v>
      </c>
      <c r="I77" s="21">
        <v>8755000</v>
      </c>
      <c r="J77" s="5">
        <f>I77+2042833+6712167</f>
        <v>17510000</v>
      </c>
      <c r="K77" s="6">
        <f t="shared" si="4"/>
        <v>0</v>
      </c>
      <c r="L77" s="1">
        <f t="shared" si="5"/>
        <v>1</v>
      </c>
      <c r="M77" s="14">
        <v>0</v>
      </c>
      <c r="N77" s="13">
        <v>0</v>
      </c>
      <c r="O77" s="9"/>
    </row>
    <row r="78" spans="1:15" ht="60" x14ac:dyDescent="0.25">
      <c r="A78" s="15" t="s">
        <v>158</v>
      </c>
      <c r="B78" s="16">
        <v>7170018</v>
      </c>
      <c r="C78" s="16">
        <v>6</v>
      </c>
      <c r="D78" s="9" t="s">
        <v>218</v>
      </c>
      <c r="E78" s="16" t="s">
        <v>99</v>
      </c>
      <c r="F78" s="17">
        <v>45712</v>
      </c>
      <c r="G78" s="20">
        <v>45800</v>
      </c>
      <c r="H78" s="21">
        <v>28119000</v>
      </c>
      <c r="I78" s="21">
        <v>9373000</v>
      </c>
      <c r="J78" s="5">
        <f>2187033+9373000+9373000+7185967</f>
        <v>28119000</v>
      </c>
      <c r="K78" s="6">
        <f t="shared" si="4"/>
        <v>0</v>
      </c>
      <c r="L78" s="1">
        <f t="shared" si="5"/>
        <v>1</v>
      </c>
      <c r="M78" s="14">
        <v>0</v>
      </c>
      <c r="N78" s="13">
        <v>0</v>
      </c>
      <c r="O78" s="9"/>
    </row>
    <row r="79" spans="1:15" ht="60" x14ac:dyDescent="0.25">
      <c r="A79" s="15" t="s">
        <v>159</v>
      </c>
      <c r="B79" s="16">
        <v>1143425034</v>
      </c>
      <c r="C79" s="16">
        <v>5</v>
      </c>
      <c r="D79" s="9" t="s">
        <v>219</v>
      </c>
      <c r="E79" s="16" t="s">
        <v>100</v>
      </c>
      <c r="F79" s="17">
        <v>45712</v>
      </c>
      <c r="G79" s="20">
        <v>45800</v>
      </c>
      <c r="H79" s="21">
        <v>28119000</v>
      </c>
      <c r="I79" s="21">
        <v>9373000</v>
      </c>
      <c r="J79" s="5">
        <f>2187033+9373000+9373000+7185967</f>
        <v>28119000</v>
      </c>
      <c r="K79" s="6">
        <f t="shared" si="4"/>
        <v>0</v>
      </c>
      <c r="L79" s="1">
        <f t="shared" si="5"/>
        <v>1</v>
      </c>
      <c r="M79" s="14">
        <v>0</v>
      </c>
      <c r="N79" s="13">
        <v>0</v>
      </c>
      <c r="O79" s="9"/>
    </row>
    <row r="80" spans="1:15" ht="60" x14ac:dyDescent="0.25">
      <c r="A80" s="15" t="s">
        <v>160</v>
      </c>
      <c r="B80" s="16">
        <v>1121872051</v>
      </c>
      <c r="C80" s="16">
        <v>7</v>
      </c>
      <c r="D80" s="9" t="s">
        <v>220</v>
      </c>
      <c r="E80" s="16" t="s">
        <v>101</v>
      </c>
      <c r="F80" s="17">
        <v>45712</v>
      </c>
      <c r="G80" s="20">
        <v>45800</v>
      </c>
      <c r="H80" s="21">
        <v>16480000</v>
      </c>
      <c r="I80" s="21">
        <v>8240000</v>
      </c>
      <c r="J80" s="5">
        <f>1922667+I80+6317300</f>
        <v>16479967</v>
      </c>
      <c r="K80" s="6">
        <f t="shared" si="4"/>
        <v>33</v>
      </c>
      <c r="L80" s="1">
        <f t="shared" si="5"/>
        <v>0.99999799757281549</v>
      </c>
      <c r="M80" s="14">
        <v>0</v>
      </c>
      <c r="N80" s="13">
        <v>0</v>
      </c>
      <c r="O80" s="9"/>
    </row>
    <row r="81" spans="1:15" ht="45" x14ac:dyDescent="0.25">
      <c r="A81" s="15" t="s">
        <v>161</v>
      </c>
      <c r="B81" s="16">
        <v>1031148185</v>
      </c>
      <c r="C81" s="16">
        <v>4</v>
      </c>
      <c r="D81" s="9" t="s">
        <v>221</v>
      </c>
      <c r="E81" s="16" t="s">
        <v>102</v>
      </c>
      <c r="F81" s="17">
        <v>45713</v>
      </c>
      <c r="G81" s="20">
        <v>45771</v>
      </c>
      <c r="H81" s="21">
        <v>6600000</v>
      </c>
      <c r="I81" s="21">
        <v>3300000</v>
      </c>
      <c r="J81" s="5">
        <f>660000+I81+2640000</f>
        <v>6600000</v>
      </c>
      <c r="K81" s="6">
        <f t="shared" si="4"/>
        <v>0</v>
      </c>
      <c r="L81" s="1">
        <f t="shared" si="5"/>
        <v>1</v>
      </c>
      <c r="M81" s="14">
        <v>0</v>
      </c>
      <c r="N81" s="13">
        <v>0</v>
      </c>
      <c r="O81" s="9"/>
    </row>
    <row r="82" spans="1:15" ht="120" x14ac:dyDescent="0.25">
      <c r="A82" s="15" t="s">
        <v>162</v>
      </c>
      <c r="B82" s="16">
        <v>1094974758</v>
      </c>
      <c r="C82" s="16">
        <v>6</v>
      </c>
      <c r="D82" s="9" t="s">
        <v>222</v>
      </c>
      <c r="E82" s="16" t="s">
        <v>103</v>
      </c>
      <c r="F82" s="17">
        <v>45713</v>
      </c>
      <c r="G82" s="20">
        <v>45954</v>
      </c>
      <c r="H82" s="21">
        <v>53560000</v>
      </c>
      <c r="I82" s="21">
        <v>6695000</v>
      </c>
      <c r="J82" s="5">
        <f>1339000+1339000+6695000+6695000+6695000+I82</f>
        <v>29458000</v>
      </c>
      <c r="K82" s="6">
        <f t="shared" si="4"/>
        <v>24102000</v>
      </c>
      <c r="L82" s="1">
        <f t="shared" si="5"/>
        <v>0.55000000000000004</v>
      </c>
      <c r="M82" s="14">
        <v>0</v>
      </c>
      <c r="N82" s="13">
        <v>0</v>
      </c>
      <c r="O82" s="9"/>
    </row>
    <row r="83" spans="1:15" ht="60" x14ac:dyDescent="0.25">
      <c r="A83" s="15" t="s">
        <v>163</v>
      </c>
      <c r="B83" s="16">
        <v>1070329566</v>
      </c>
      <c r="C83" s="16">
        <v>6</v>
      </c>
      <c r="D83" s="9" t="s">
        <v>223</v>
      </c>
      <c r="E83" s="16" t="s">
        <v>104</v>
      </c>
      <c r="F83" s="17">
        <v>45713</v>
      </c>
      <c r="G83" s="20">
        <v>46022</v>
      </c>
      <c r="H83" s="21">
        <v>84048000</v>
      </c>
      <c r="I83" s="21">
        <v>8240000.0000000009</v>
      </c>
      <c r="J83" s="5">
        <f>1648000+1648000+8240000+8240000+8240000+I83</f>
        <v>36256000</v>
      </c>
      <c r="K83" s="6">
        <f t="shared" si="4"/>
        <v>47792000</v>
      </c>
      <c r="L83" s="1">
        <f t="shared" si="5"/>
        <v>0.43137254901960786</v>
      </c>
      <c r="M83" s="14">
        <v>0</v>
      </c>
      <c r="N83" s="13">
        <v>0</v>
      </c>
      <c r="O83" s="9"/>
    </row>
    <row r="84" spans="1:15" ht="90" x14ac:dyDescent="0.25">
      <c r="A84" s="15" t="s">
        <v>283</v>
      </c>
      <c r="B84" s="16">
        <v>36556354</v>
      </c>
      <c r="C84" s="16">
        <v>1</v>
      </c>
      <c r="D84" s="9" t="s">
        <v>326</v>
      </c>
      <c r="E84" s="16" t="s">
        <v>240</v>
      </c>
      <c r="F84" s="17">
        <v>45719</v>
      </c>
      <c r="G84" s="20">
        <v>46022</v>
      </c>
      <c r="H84" s="21">
        <v>71379000</v>
      </c>
      <c r="I84" s="21">
        <v>7210000</v>
      </c>
      <c r="J84" s="5">
        <f>6489000+7210000+7210000+I84</f>
        <v>28119000</v>
      </c>
      <c r="K84" s="6">
        <f t="shared" ref="K84:K126" si="7">H84-J84</f>
        <v>43260000</v>
      </c>
      <c r="L84" s="1">
        <f t="shared" ref="L84:L126" si="8">1-(K84/H84)</f>
        <v>0.39393939393939392</v>
      </c>
      <c r="M84" s="14">
        <v>0</v>
      </c>
      <c r="N84" s="13">
        <v>0</v>
      </c>
      <c r="O84" s="9"/>
    </row>
    <row r="85" spans="1:15" ht="75" x14ac:dyDescent="0.25">
      <c r="A85" s="15" t="s">
        <v>284</v>
      </c>
      <c r="B85" s="16">
        <v>52816943</v>
      </c>
      <c r="C85" s="16">
        <v>2</v>
      </c>
      <c r="D85" s="9" t="s">
        <v>327</v>
      </c>
      <c r="E85" s="16" t="s">
        <v>241</v>
      </c>
      <c r="F85" s="17">
        <v>45719</v>
      </c>
      <c r="G85" s="20">
        <v>45779</v>
      </c>
      <c r="H85" s="21">
        <v>16480000</v>
      </c>
      <c r="I85" s="21">
        <v>8240000</v>
      </c>
      <c r="J85" s="5">
        <f>7690667+8240000+549333</f>
        <v>16480000</v>
      </c>
      <c r="K85" s="6">
        <f t="shared" si="7"/>
        <v>0</v>
      </c>
      <c r="L85" s="1">
        <f t="shared" si="8"/>
        <v>1</v>
      </c>
      <c r="M85" s="14">
        <v>0</v>
      </c>
      <c r="N85" s="13">
        <v>0</v>
      </c>
      <c r="O85" s="9"/>
    </row>
    <row r="86" spans="1:15" ht="75" x14ac:dyDescent="0.25">
      <c r="A86" s="15" t="s">
        <v>285</v>
      </c>
      <c r="B86" s="16">
        <v>52052153</v>
      </c>
      <c r="C86" s="16">
        <v>0</v>
      </c>
      <c r="D86" s="9" t="s">
        <v>328</v>
      </c>
      <c r="E86" s="16" t="s">
        <v>242</v>
      </c>
      <c r="F86" s="17">
        <v>45719</v>
      </c>
      <c r="G86" s="20">
        <v>45779</v>
      </c>
      <c r="H86" s="21">
        <v>11330000</v>
      </c>
      <c r="I86" s="21">
        <v>5665000</v>
      </c>
      <c r="J86" s="5">
        <f>5287333+5665000+377667</f>
        <v>11330000</v>
      </c>
      <c r="K86" s="6">
        <f t="shared" si="7"/>
        <v>0</v>
      </c>
      <c r="L86" s="1">
        <f t="shared" si="8"/>
        <v>1</v>
      </c>
      <c r="M86" s="14">
        <v>0</v>
      </c>
      <c r="N86" s="13">
        <v>0</v>
      </c>
      <c r="O86" s="9"/>
    </row>
    <row r="87" spans="1:15" ht="60" x14ac:dyDescent="0.25">
      <c r="A87" s="15" t="s">
        <v>286</v>
      </c>
      <c r="B87" s="16">
        <v>14838515</v>
      </c>
      <c r="C87" s="16">
        <v>1</v>
      </c>
      <c r="D87" s="9" t="s">
        <v>329</v>
      </c>
      <c r="E87" s="16" t="s">
        <v>243</v>
      </c>
      <c r="F87" s="20">
        <v>45720</v>
      </c>
      <c r="G87" s="20">
        <v>46022</v>
      </c>
      <c r="H87" s="21">
        <v>114810667</v>
      </c>
      <c r="I87" s="21">
        <v>11550000</v>
      </c>
      <c r="J87" s="5">
        <f>10197000+11330000+11330000+11330000</f>
        <v>44187000</v>
      </c>
      <c r="K87" s="6">
        <f t="shared" si="7"/>
        <v>70623667</v>
      </c>
      <c r="L87" s="1">
        <f t="shared" si="8"/>
        <v>0.38486841993523124</v>
      </c>
      <c r="M87" s="14">
        <v>0</v>
      </c>
      <c r="N87" s="13">
        <v>0</v>
      </c>
      <c r="O87" s="9"/>
    </row>
    <row r="88" spans="1:15" ht="45" x14ac:dyDescent="0.25">
      <c r="A88" s="15" t="s">
        <v>287</v>
      </c>
      <c r="B88" s="16">
        <v>32144118</v>
      </c>
      <c r="C88" s="16">
        <v>5</v>
      </c>
      <c r="D88" s="9" t="s">
        <v>330</v>
      </c>
      <c r="E88" s="16" t="s">
        <v>244</v>
      </c>
      <c r="F88" s="20">
        <v>45720</v>
      </c>
      <c r="G88" s="20">
        <v>45780</v>
      </c>
      <c r="H88" s="21">
        <v>17510000</v>
      </c>
      <c r="I88" s="21">
        <v>8755000</v>
      </c>
      <c r="J88" s="5">
        <f>7879500+8755000+875500</f>
        <v>17510000</v>
      </c>
      <c r="K88" s="6">
        <f t="shared" si="7"/>
        <v>0</v>
      </c>
      <c r="L88" s="1">
        <f t="shared" si="8"/>
        <v>1</v>
      </c>
      <c r="M88" s="14">
        <v>0</v>
      </c>
      <c r="N88" s="13">
        <v>0</v>
      </c>
      <c r="O88" s="9"/>
    </row>
    <row r="89" spans="1:15" ht="60" x14ac:dyDescent="0.25">
      <c r="A89" s="15" t="s">
        <v>288</v>
      </c>
      <c r="B89" s="16">
        <v>80017253</v>
      </c>
      <c r="C89" s="16">
        <v>2</v>
      </c>
      <c r="D89" s="9" t="s">
        <v>331</v>
      </c>
      <c r="E89" s="16" t="s">
        <v>245</v>
      </c>
      <c r="F89" s="20">
        <v>45720</v>
      </c>
      <c r="G89" s="17">
        <v>45747</v>
      </c>
      <c r="H89" s="21">
        <v>16480000</v>
      </c>
      <c r="I89" s="21">
        <v>8240000</v>
      </c>
      <c r="J89" s="5">
        <v>7416000</v>
      </c>
      <c r="K89" s="6">
        <f t="shared" si="7"/>
        <v>9064000</v>
      </c>
      <c r="L89" s="1">
        <f t="shared" si="8"/>
        <v>0.44999999999999996</v>
      </c>
      <c r="M89" s="14">
        <v>0</v>
      </c>
      <c r="N89" s="13">
        <v>0</v>
      </c>
      <c r="O89" s="9"/>
    </row>
    <row r="90" spans="1:15" ht="45" x14ac:dyDescent="0.25">
      <c r="A90" s="15" t="s">
        <v>289</v>
      </c>
      <c r="B90" s="16">
        <v>80472297</v>
      </c>
      <c r="C90" s="16">
        <v>6</v>
      </c>
      <c r="D90" s="9" t="s">
        <v>332</v>
      </c>
      <c r="E90" s="16" t="s">
        <v>246</v>
      </c>
      <c r="F90" s="20">
        <v>45721</v>
      </c>
      <c r="G90" s="20">
        <v>46022</v>
      </c>
      <c r="H90" s="21">
        <v>32450000</v>
      </c>
      <c r="I90" s="21">
        <v>3508108.1081081079</v>
      </c>
      <c r="J90" s="5">
        <f>2750000+3300000+3300000+3300000</f>
        <v>12650000</v>
      </c>
      <c r="K90" s="6">
        <f t="shared" si="7"/>
        <v>19800000</v>
      </c>
      <c r="L90" s="1">
        <f t="shared" si="8"/>
        <v>0.38983050847457623</v>
      </c>
      <c r="M90" s="14">
        <v>0</v>
      </c>
      <c r="N90" s="13">
        <v>0</v>
      </c>
      <c r="O90" s="9"/>
    </row>
    <row r="91" spans="1:15" ht="75" x14ac:dyDescent="0.25">
      <c r="A91" s="15" t="s">
        <v>290</v>
      </c>
      <c r="B91" s="16">
        <v>1010233403</v>
      </c>
      <c r="C91" s="16">
        <v>2</v>
      </c>
      <c r="D91" s="9" t="s">
        <v>333</v>
      </c>
      <c r="E91" s="16" t="s">
        <v>247</v>
      </c>
      <c r="F91" s="17">
        <v>45722</v>
      </c>
      <c r="G91" s="20">
        <v>45782</v>
      </c>
      <c r="H91" s="21">
        <v>16480000</v>
      </c>
      <c r="I91" s="21">
        <v>8240000</v>
      </c>
      <c r="J91" s="5">
        <f>6866667+8240000+1373333</f>
        <v>16480000</v>
      </c>
      <c r="K91" s="6">
        <f t="shared" si="7"/>
        <v>0</v>
      </c>
      <c r="L91" s="1">
        <f t="shared" si="8"/>
        <v>1</v>
      </c>
      <c r="M91" s="14">
        <v>0</v>
      </c>
      <c r="N91" s="13">
        <v>0</v>
      </c>
      <c r="O91" s="9"/>
    </row>
    <row r="92" spans="1:15" ht="60" x14ac:dyDescent="0.25">
      <c r="A92" s="15" t="s">
        <v>291</v>
      </c>
      <c r="B92" s="16">
        <v>1066184621</v>
      </c>
      <c r="C92" s="16">
        <v>4</v>
      </c>
      <c r="D92" s="9" t="s">
        <v>334</v>
      </c>
      <c r="E92" s="16" t="s">
        <v>248</v>
      </c>
      <c r="F92" s="20">
        <v>45721</v>
      </c>
      <c r="G92" s="20">
        <v>46022</v>
      </c>
      <c r="H92" s="21">
        <v>82400000</v>
      </c>
      <c r="I92" s="21">
        <v>8240000</v>
      </c>
      <c r="J92" s="5">
        <f>7141333+8240000+8240000+I92</f>
        <v>31861333</v>
      </c>
      <c r="K92" s="6">
        <f t="shared" si="7"/>
        <v>50538667</v>
      </c>
      <c r="L92" s="1">
        <f t="shared" si="8"/>
        <v>0.38666666262135918</v>
      </c>
      <c r="M92" s="14">
        <v>0</v>
      </c>
      <c r="N92" s="13">
        <v>0</v>
      </c>
      <c r="O92" s="9"/>
    </row>
    <row r="93" spans="1:15" ht="60" x14ac:dyDescent="0.25">
      <c r="A93" s="15" t="s">
        <v>292</v>
      </c>
      <c r="B93" s="16">
        <v>1053853404</v>
      </c>
      <c r="C93" s="16">
        <v>6</v>
      </c>
      <c r="D93" s="9" t="s">
        <v>335</v>
      </c>
      <c r="E93" s="16" t="s">
        <v>249</v>
      </c>
      <c r="F93" s="17">
        <v>45721</v>
      </c>
      <c r="G93" s="20">
        <v>46022</v>
      </c>
      <c r="H93" s="21">
        <v>81301333</v>
      </c>
      <c r="I93" s="21">
        <v>8240000</v>
      </c>
      <c r="J93" s="5">
        <f>7141333+8240000+8240000+I93</f>
        <v>31861333</v>
      </c>
      <c r="K93" s="6">
        <f t="shared" si="7"/>
        <v>49440000</v>
      </c>
      <c r="L93" s="1">
        <f t="shared" si="8"/>
        <v>0.39189188939866459</v>
      </c>
      <c r="M93" s="14">
        <v>0</v>
      </c>
      <c r="N93" s="13">
        <v>0</v>
      </c>
      <c r="O93" s="9"/>
    </row>
    <row r="94" spans="1:15" ht="60" x14ac:dyDescent="0.25">
      <c r="A94" s="15" t="s">
        <v>293</v>
      </c>
      <c r="B94" s="16">
        <v>80224628</v>
      </c>
      <c r="C94" s="16">
        <v>8</v>
      </c>
      <c r="D94" s="9" t="s">
        <v>336</v>
      </c>
      <c r="E94" s="16" t="s">
        <v>250</v>
      </c>
      <c r="F94" s="17">
        <v>45721</v>
      </c>
      <c r="G94" s="20">
        <v>46022</v>
      </c>
      <c r="H94" s="21">
        <v>86382666</v>
      </c>
      <c r="I94" s="21">
        <v>8755000</v>
      </c>
      <c r="J94" s="5">
        <f>7587666+8755000+1793833</f>
        <v>18136499</v>
      </c>
      <c r="K94" s="6">
        <f t="shared" si="7"/>
        <v>68246167</v>
      </c>
      <c r="L94" s="1">
        <f t="shared" si="8"/>
        <v>0.20995530515346683</v>
      </c>
      <c r="M94" s="14">
        <v>0</v>
      </c>
      <c r="N94" s="13">
        <v>0</v>
      </c>
      <c r="O94" s="9"/>
    </row>
    <row r="95" spans="1:15" ht="75" x14ac:dyDescent="0.25">
      <c r="A95" s="15" t="s">
        <v>294</v>
      </c>
      <c r="B95" s="16">
        <v>1032462696</v>
      </c>
      <c r="C95" s="16">
        <v>5</v>
      </c>
      <c r="D95" s="9" t="s">
        <v>337</v>
      </c>
      <c r="E95" s="16" t="s">
        <v>251</v>
      </c>
      <c r="F95" s="17">
        <v>45723</v>
      </c>
      <c r="G95" s="20">
        <v>45783</v>
      </c>
      <c r="H95" s="21">
        <v>14420000</v>
      </c>
      <c r="I95" s="21">
        <v>7210000</v>
      </c>
      <c r="J95" s="5">
        <f>5768000+7210000+1442000</f>
        <v>14420000</v>
      </c>
      <c r="K95" s="6">
        <f t="shared" si="7"/>
        <v>0</v>
      </c>
      <c r="L95" s="1">
        <f t="shared" si="8"/>
        <v>1</v>
      </c>
      <c r="M95" s="14">
        <v>0</v>
      </c>
      <c r="N95" s="13">
        <v>0</v>
      </c>
      <c r="O95" s="9"/>
    </row>
    <row r="96" spans="1:15" ht="60" x14ac:dyDescent="0.25">
      <c r="A96" s="15" t="s">
        <v>295</v>
      </c>
      <c r="B96" s="16">
        <v>80195916</v>
      </c>
      <c r="C96" s="16">
        <v>9</v>
      </c>
      <c r="D96" s="9" t="s">
        <v>338</v>
      </c>
      <c r="E96" s="16" t="s">
        <v>252</v>
      </c>
      <c r="F96" s="17">
        <v>45723</v>
      </c>
      <c r="G96" s="20">
        <v>45783</v>
      </c>
      <c r="H96" s="21">
        <v>18746000</v>
      </c>
      <c r="I96" s="21">
        <v>9373000</v>
      </c>
      <c r="J96" s="5">
        <f>7498400+9373000+1874600</f>
        <v>18746000</v>
      </c>
      <c r="K96" s="6">
        <f t="shared" si="7"/>
        <v>0</v>
      </c>
      <c r="L96" s="1">
        <f t="shared" si="8"/>
        <v>1</v>
      </c>
      <c r="M96" s="14">
        <v>0</v>
      </c>
      <c r="N96" s="13">
        <v>0</v>
      </c>
      <c r="O96" s="9"/>
    </row>
    <row r="97" spans="1:15" ht="150" x14ac:dyDescent="0.25">
      <c r="A97" s="15" t="s">
        <v>296</v>
      </c>
      <c r="B97" s="16">
        <v>1054372968</v>
      </c>
      <c r="C97" s="16">
        <v>7</v>
      </c>
      <c r="D97" s="9" t="s">
        <v>339</v>
      </c>
      <c r="E97" s="16" t="s">
        <v>253</v>
      </c>
      <c r="F97" s="17">
        <v>45723</v>
      </c>
      <c r="G97" s="20">
        <v>45783</v>
      </c>
      <c r="H97" s="21">
        <v>16480000</v>
      </c>
      <c r="I97" s="21">
        <v>8240000</v>
      </c>
      <c r="J97" s="5">
        <f>6592000+8240000+1648000</f>
        <v>16480000</v>
      </c>
      <c r="K97" s="6">
        <f t="shared" si="7"/>
        <v>0</v>
      </c>
      <c r="L97" s="1">
        <f t="shared" si="8"/>
        <v>1</v>
      </c>
      <c r="M97" s="14">
        <v>0</v>
      </c>
      <c r="N97" s="13">
        <v>0</v>
      </c>
      <c r="O97" s="9"/>
    </row>
    <row r="98" spans="1:15" ht="75" x14ac:dyDescent="0.25">
      <c r="A98" s="15" t="s">
        <v>297</v>
      </c>
      <c r="B98" s="16">
        <v>1018415781</v>
      </c>
      <c r="C98" s="16">
        <v>2</v>
      </c>
      <c r="D98" s="9" t="s">
        <v>340</v>
      </c>
      <c r="E98" s="16" t="s">
        <v>254</v>
      </c>
      <c r="F98" s="17">
        <v>45723</v>
      </c>
      <c r="G98" s="20">
        <v>46017</v>
      </c>
      <c r="H98" s="21">
        <v>79653333</v>
      </c>
      <c r="I98" s="21">
        <v>8240000</v>
      </c>
      <c r="J98" s="5">
        <f>6592000+8240000+8240000+I98</f>
        <v>31312000</v>
      </c>
      <c r="K98" s="6">
        <f t="shared" si="7"/>
        <v>48341333</v>
      </c>
      <c r="L98" s="1">
        <f t="shared" si="8"/>
        <v>0.39310344992092172</v>
      </c>
      <c r="M98" s="14">
        <v>0</v>
      </c>
      <c r="N98" s="13">
        <v>0</v>
      </c>
      <c r="O98" s="9"/>
    </row>
    <row r="99" spans="1:15" ht="60" x14ac:dyDescent="0.25">
      <c r="A99" s="15" t="s">
        <v>298</v>
      </c>
      <c r="B99" s="16">
        <v>1022952696</v>
      </c>
      <c r="C99" s="16">
        <v>1</v>
      </c>
      <c r="D99" s="9" t="s">
        <v>341</v>
      </c>
      <c r="E99" s="16" t="s">
        <v>255</v>
      </c>
      <c r="F99" s="17">
        <v>45727</v>
      </c>
      <c r="G99" s="20">
        <v>45818</v>
      </c>
      <c r="H99" s="21">
        <v>21630000</v>
      </c>
      <c r="I99" s="21">
        <v>7210000</v>
      </c>
      <c r="J99" s="5">
        <f>4120000+4806000+7210000+7210000+2403334</f>
        <v>25749334</v>
      </c>
      <c r="K99" s="6">
        <f t="shared" si="7"/>
        <v>-4119334</v>
      </c>
      <c r="L99" s="1">
        <f t="shared" si="8"/>
        <v>1.190445399907536</v>
      </c>
      <c r="M99" s="14">
        <v>0</v>
      </c>
      <c r="N99" s="13">
        <v>0</v>
      </c>
      <c r="O99" s="9"/>
    </row>
    <row r="100" spans="1:15" ht="105" x14ac:dyDescent="0.25">
      <c r="A100" s="15" t="s">
        <v>299</v>
      </c>
      <c r="B100" s="16">
        <v>1018427750</v>
      </c>
      <c r="C100" s="16">
        <v>6</v>
      </c>
      <c r="D100" s="9" t="s">
        <v>342</v>
      </c>
      <c r="E100" s="16" t="s">
        <v>256</v>
      </c>
      <c r="F100" s="17">
        <v>45727</v>
      </c>
      <c r="G100" s="20">
        <v>45787</v>
      </c>
      <c r="H100" s="21">
        <v>12360000</v>
      </c>
      <c r="I100" s="21">
        <v>6180000</v>
      </c>
      <c r="J100" s="5">
        <f>6180000+2060000</f>
        <v>8240000</v>
      </c>
      <c r="K100" s="6">
        <f t="shared" si="7"/>
        <v>4120000</v>
      </c>
      <c r="L100" s="1">
        <f t="shared" si="8"/>
        <v>0.66666666666666674</v>
      </c>
      <c r="M100" s="14">
        <v>0</v>
      </c>
      <c r="N100" s="13">
        <v>0</v>
      </c>
      <c r="O100" s="9"/>
    </row>
    <row r="101" spans="1:15" ht="75" x14ac:dyDescent="0.25">
      <c r="A101" s="15" t="s">
        <v>300</v>
      </c>
      <c r="B101" s="16">
        <v>91535835</v>
      </c>
      <c r="C101" s="16">
        <v>0</v>
      </c>
      <c r="D101" s="9" t="s">
        <v>343</v>
      </c>
      <c r="E101" s="16" t="s">
        <v>257</v>
      </c>
      <c r="F101" s="17">
        <v>45728</v>
      </c>
      <c r="G101" s="20">
        <v>45819</v>
      </c>
      <c r="H101" s="21">
        <v>26265000</v>
      </c>
      <c r="I101" s="21">
        <v>8755000</v>
      </c>
      <c r="J101" s="5">
        <f>8755000+3210167</f>
        <v>11965167</v>
      </c>
      <c r="K101" s="6">
        <f t="shared" si="7"/>
        <v>14299833</v>
      </c>
      <c r="L101" s="1">
        <f t="shared" si="8"/>
        <v>0.45555556824671617</v>
      </c>
      <c r="M101" s="14">
        <v>0</v>
      </c>
      <c r="N101" s="13">
        <v>0</v>
      </c>
      <c r="O101" s="9"/>
    </row>
    <row r="102" spans="1:15" ht="75" x14ac:dyDescent="0.25">
      <c r="A102" s="15" t="s">
        <v>301</v>
      </c>
      <c r="B102" s="16">
        <v>1001309821</v>
      </c>
      <c r="C102" s="16">
        <v>3</v>
      </c>
      <c r="D102" s="9" t="s">
        <v>344</v>
      </c>
      <c r="E102" s="16" t="s">
        <v>258</v>
      </c>
      <c r="F102" s="17">
        <v>45728</v>
      </c>
      <c r="G102" s="20">
        <v>46022</v>
      </c>
      <c r="H102" s="21">
        <v>35720400</v>
      </c>
      <c r="I102" s="21">
        <v>3708000</v>
      </c>
      <c r="J102" s="5">
        <f>2348400+3708000+3708000+3708000</f>
        <v>13472400</v>
      </c>
      <c r="K102" s="6">
        <f t="shared" si="7"/>
        <v>22248000</v>
      </c>
      <c r="L102" s="1">
        <f t="shared" si="8"/>
        <v>0.37716262975778547</v>
      </c>
      <c r="M102" s="14">
        <v>0</v>
      </c>
      <c r="N102" s="13">
        <v>0</v>
      </c>
      <c r="O102" s="9"/>
    </row>
    <row r="103" spans="1:15" ht="60" x14ac:dyDescent="0.25">
      <c r="A103" s="15" t="s">
        <v>302</v>
      </c>
      <c r="B103" s="16">
        <v>1020725505</v>
      </c>
      <c r="C103" s="16">
        <v>3</v>
      </c>
      <c r="D103" s="9" t="s">
        <v>345</v>
      </c>
      <c r="E103" s="16" t="s">
        <v>259</v>
      </c>
      <c r="F103" s="17">
        <v>45730</v>
      </c>
      <c r="G103" s="20">
        <v>46022</v>
      </c>
      <c r="H103" s="21">
        <v>49268333</v>
      </c>
      <c r="I103" s="21">
        <v>5150000</v>
      </c>
      <c r="J103" s="5">
        <f>2918333+5150000+5150000+I103</f>
        <v>18368333</v>
      </c>
      <c r="K103" s="6">
        <f t="shared" si="7"/>
        <v>30900000</v>
      </c>
      <c r="L103" s="1">
        <f t="shared" si="8"/>
        <v>0.37282229540828993</v>
      </c>
      <c r="M103" s="14">
        <v>0</v>
      </c>
      <c r="N103" s="13">
        <v>0</v>
      </c>
      <c r="O103" s="9"/>
    </row>
    <row r="104" spans="1:15" ht="75" x14ac:dyDescent="0.25">
      <c r="A104" s="15" t="s">
        <v>303</v>
      </c>
      <c r="B104" s="16">
        <v>1069715425</v>
      </c>
      <c r="C104" s="16">
        <v>8</v>
      </c>
      <c r="D104" s="9" t="s">
        <v>346</v>
      </c>
      <c r="E104" s="16" t="s">
        <v>260</v>
      </c>
      <c r="F104" s="17">
        <v>45730</v>
      </c>
      <c r="G104" s="20">
        <v>45849</v>
      </c>
      <c r="H104" s="21">
        <v>14832000</v>
      </c>
      <c r="I104" s="21">
        <v>3708000</v>
      </c>
      <c r="J104" s="5">
        <f>2101200+3708000+3708000+3708000+1606800</f>
        <v>14832000</v>
      </c>
      <c r="K104" s="6">
        <f>H104-J104</f>
        <v>0</v>
      </c>
      <c r="L104" s="1">
        <f t="shared" si="8"/>
        <v>1</v>
      </c>
      <c r="M104" s="14">
        <v>0</v>
      </c>
      <c r="N104" s="13">
        <v>0</v>
      </c>
      <c r="O104" s="9"/>
    </row>
    <row r="105" spans="1:15" ht="60" x14ac:dyDescent="0.25">
      <c r="A105" s="15" t="s">
        <v>304</v>
      </c>
      <c r="B105" s="16">
        <v>1121331082</v>
      </c>
      <c r="C105" s="16">
        <v>4</v>
      </c>
      <c r="D105" s="9" t="s">
        <v>347</v>
      </c>
      <c r="E105" s="16" t="s">
        <v>261</v>
      </c>
      <c r="F105" s="17">
        <v>45730</v>
      </c>
      <c r="G105" s="20">
        <v>45991</v>
      </c>
      <c r="H105" s="21">
        <v>48530166</v>
      </c>
      <c r="I105" s="21">
        <v>5665000</v>
      </c>
      <c r="J105" s="5">
        <f>3210166+5665000+5665000+5665000+I105</f>
        <v>25870166</v>
      </c>
      <c r="K105" s="6">
        <f t="shared" si="7"/>
        <v>22660000</v>
      </c>
      <c r="L105" s="1">
        <f t="shared" si="8"/>
        <v>0.53307392354685124</v>
      </c>
      <c r="M105" s="14">
        <v>0</v>
      </c>
      <c r="N105" s="13">
        <v>0</v>
      </c>
      <c r="O105" s="9"/>
    </row>
    <row r="106" spans="1:15" ht="45" x14ac:dyDescent="0.25">
      <c r="A106" s="15" t="s">
        <v>305</v>
      </c>
      <c r="B106" s="16">
        <v>1192806892</v>
      </c>
      <c r="C106" s="16">
        <v>1</v>
      </c>
      <c r="D106" s="9" t="s">
        <v>348</v>
      </c>
      <c r="E106" s="16" t="s">
        <v>262</v>
      </c>
      <c r="F106" s="17">
        <v>45729</v>
      </c>
      <c r="G106" s="20">
        <v>45973</v>
      </c>
      <c r="H106" s="21">
        <v>29664000</v>
      </c>
      <c r="I106" s="21">
        <v>3708000</v>
      </c>
      <c r="J106" s="5">
        <f>2224800+3708000+3708000+3708000+I106</f>
        <v>17056800</v>
      </c>
      <c r="K106" s="6">
        <f t="shared" si="7"/>
        <v>12607200</v>
      </c>
      <c r="L106" s="1">
        <f t="shared" si="8"/>
        <v>0.57499999999999996</v>
      </c>
      <c r="M106" s="14">
        <v>0</v>
      </c>
      <c r="N106" s="13">
        <v>0</v>
      </c>
      <c r="O106" s="9"/>
    </row>
    <row r="107" spans="1:15" ht="75" x14ac:dyDescent="0.25">
      <c r="A107" s="15" t="s">
        <v>306</v>
      </c>
      <c r="B107" s="16">
        <v>1000287647</v>
      </c>
      <c r="C107" s="16">
        <v>8</v>
      </c>
      <c r="D107" s="9" t="s">
        <v>349</v>
      </c>
      <c r="E107" s="16" t="s">
        <v>263</v>
      </c>
      <c r="F107" s="17">
        <v>45735</v>
      </c>
      <c r="G107" s="20">
        <v>46022</v>
      </c>
      <c r="H107" s="21">
        <v>35596800</v>
      </c>
      <c r="I107" s="21">
        <v>3708000</v>
      </c>
      <c r="J107" s="5">
        <f>2224800+3708000+3708000+3708000+I107</f>
        <v>17056800</v>
      </c>
      <c r="K107" s="6">
        <f t="shared" si="7"/>
        <v>18540000</v>
      </c>
      <c r="L107" s="1">
        <f t="shared" si="8"/>
        <v>0.47916666666666663</v>
      </c>
      <c r="M107" s="14">
        <v>0</v>
      </c>
      <c r="N107" s="13">
        <v>0</v>
      </c>
      <c r="O107" s="9"/>
    </row>
    <row r="108" spans="1:15" ht="60" x14ac:dyDescent="0.25">
      <c r="A108" s="15" t="s">
        <v>307</v>
      </c>
      <c r="B108" s="16">
        <v>1020828222</v>
      </c>
      <c r="C108" s="16">
        <v>7</v>
      </c>
      <c r="D108" s="9" t="s">
        <v>350</v>
      </c>
      <c r="E108" s="16" t="s">
        <v>264</v>
      </c>
      <c r="F108" s="17">
        <v>45733</v>
      </c>
      <c r="G108" s="20">
        <v>46022</v>
      </c>
      <c r="H108" s="21">
        <v>43878000</v>
      </c>
      <c r="I108" s="21">
        <v>4635000</v>
      </c>
      <c r="J108" s="5">
        <f>2163000+4635000+4635000+I108</f>
        <v>16068000</v>
      </c>
      <c r="K108" s="6">
        <f t="shared" si="7"/>
        <v>27810000</v>
      </c>
      <c r="L108" s="1">
        <f t="shared" si="8"/>
        <v>0.36619718309859151</v>
      </c>
      <c r="M108" s="14">
        <v>0</v>
      </c>
      <c r="N108" s="13">
        <v>0</v>
      </c>
      <c r="O108" s="9"/>
    </row>
    <row r="109" spans="1:15" ht="75" x14ac:dyDescent="0.25">
      <c r="A109" s="15" t="s">
        <v>308</v>
      </c>
      <c r="B109" s="16">
        <v>1016102721</v>
      </c>
      <c r="C109" s="16">
        <v>1</v>
      </c>
      <c r="D109" s="9" t="s">
        <v>351</v>
      </c>
      <c r="E109" s="16" t="s">
        <v>265</v>
      </c>
      <c r="F109" s="17">
        <v>45733</v>
      </c>
      <c r="G109" s="20">
        <v>45793</v>
      </c>
      <c r="H109" s="21">
        <v>11330000</v>
      </c>
      <c r="I109" s="21">
        <v>5665000</v>
      </c>
      <c r="J109" s="5">
        <f>2643667+5665000+3021333</f>
        <v>11330000</v>
      </c>
      <c r="K109" s="6">
        <f t="shared" si="7"/>
        <v>0</v>
      </c>
      <c r="L109" s="1">
        <f t="shared" si="8"/>
        <v>1</v>
      </c>
      <c r="M109" s="14">
        <v>0</v>
      </c>
      <c r="N109" s="13">
        <v>0</v>
      </c>
      <c r="O109" s="9"/>
    </row>
    <row r="110" spans="1:15" ht="30" x14ac:dyDescent="0.25">
      <c r="A110" s="15" t="s">
        <v>309</v>
      </c>
      <c r="B110" s="33">
        <v>800153993</v>
      </c>
      <c r="C110" s="27">
        <v>7</v>
      </c>
      <c r="D110" s="9" t="s">
        <v>352</v>
      </c>
      <c r="E110" s="16" t="s">
        <v>266</v>
      </c>
      <c r="F110" s="17">
        <v>45733</v>
      </c>
      <c r="G110" s="20">
        <v>46022</v>
      </c>
      <c r="H110" s="21">
        <v>30488024.550000001</v>
      </c>
      <c r="I110" s="21">
        <v>30488024.550000001</v>
      </c>
      <c r="J110" s="5">
        <v>0</v>
      </c>
      <c r="K110" s="6">
        <f t="shared" si="7"/>
        <v>30488024.550000001</v>
      </c>
      <c r="L110" s="1">
        <f t="shared" si="8"/>
        <v>0</v>
      </c>
      <c r="M110" s="14">
        <v>0</v>
      </c>
      <c r="N110" s="13">
        <v>0</v>
      </c>
      <c r="O110" s="9"/>
    </row>
    <row r="111" spans="1:15" ht="60" x14ac:dyDescent="0.25">
      <c r="A111" s="15" t="s">
        <v>310</v>
      </c>
      <c r="B111" s="16">
        <v>36296028</v>
      </c>
      <c r="C111" s="16">
        <v>7</v>
      </c>
      <c r="D111" s="9" t="s">
        <v>353</v>
      </c>
      <c r="E111" s="16" t="s">
        <v>267</v>
      </c>
      <c r="F111" s="17">
        <v>45733</v>
      </c>
      <c r="G111" s="20">
        <v>46022</v>
      </c>
      <c r="H111" s="21">
        <v>88731067</v>
      </c>
      <c r="I111" s="21">
        <v>9373000</v>
      </c>
      <c r="J111" s="5">
        <f>4374067+9373000+9373000+I111</f>
        <v>32493067</v>
      </c>
      <c r="K111" s="6">
        <f t="shared" si="7"/>
        <v>56238000</v>
      </c>
      <c r="L111" s="1">
        <f t="shared" si="8"/>
        <v>0.36619718547957958</v>
      </c>
      <c r="M111" s="14">
        <v>0</v>
      </c>
      <c r="N111" s="13">
        <v>0</v>
      </c>
      <c r="O111" s="9"/>
    </row>
    <row r="112" spans="1:15" ht="45" x14ac:dyDescent="0.25">
      <c r="A112" s="15" t="s">
        <v>311</v>
      </c>
      <c r="B112" s="16">
        <v>52977353</v>
      </c>
      <c r="C112" s="16">
        <v>7</v>
      </c>
      <c r="D112" s="9" t="s">
        <v>354</v>
      </c>
      <c r="E112" s="16" t="s">
        <v>268</v>
      </c>
      <c r="F112" s="17">
        <v>45735</v>
      </c>
      <c r="G112" s="20">
        <v>46022</v>
      </c>
      <c r="H112" s="21">
        <v>77730667</v>
      </c>
      <c r="I112" s="21">
        <v>8240000</v>
      </c>
      <c r="J112" s="5">
        <f>3570667+8240000+8240000+I112</f>
        <v>28290667</v>
      </c>
      <c r="K112" s="6">
        <f t="shared" si="7"/>
        <v>49440000</v>
      </c>
      <c r="L112" s="1">
        <f t="shared" si="8"/>
        <v>0.36395759990069299</v>
      </c>
      <c r="M112" s="14">
        <v>0</v>
      </c>
      <c r="N112" s="13">
        <v>0</v>
      </c>
      <c r="O112" s="9"/>
    </row>
    <row r="113" spans="1:15" ht="60" x14ac:dyDescent="0.25">
      <c r="A113" s="15" t="s">
        <v>312</v>
      </c>
      <c r="B113" s="16">
        <v>1094926689</v>
      </c>
      <c r="C113" s="16">
        <v>1</v>
      </c>
      <c r="D113" s="9" t="s">
        <v>355</v>
      </c>
      <c r="E113" s="16" t="s">
        <v>269</v>
      </c>
      <c r="F113" s="17">
        <v>45733</v>
      </c>
      <c r="G113" s="20">
        <v>46022</v>
      </c>
      <c r="H113" s="21">
        <v>68254667</v>
      </c>
      <c r="I113" s="21">
        <v>7210000</v>
      </c>
      <c r="J113" s="5">
        <f>3364667+7210000+7210000+I113</f>
        <v>24994667</v>
      </c>
      <c r="K113" s="6">
        <f t="shared" si="7"/>
        <v>43260000</v>
      </c>
      <c r="L113" s="1">
        <f t="shared" si="8"/>
        <v>0.36619718619387598</v>
      </c>
      <c r="M113" s="14">
        <v>0</v>
      </c>
      <c r="N113" s="13">
        <v>0</v>
      </c>
      <c r="O113" s="9"/>
    </row>
    <row r="114" spans="1:15" ht="60" x14ac:dyDescent="0.25">
      <c r="A114" s="15" t="s">
        <v>313</v>
      </c>
      <c r="B114" s="16">
        <v>1088019231</v>
      </c>
      <c r="C114" s="16">
        <v>1</v>
      </c>
      <c r="D114" s="9" t="s">
        <v>356</v>
      </c>
      <c r="E114" s="16" t="s">
        <v>270</v>
      </c>
      <c r="F114" s="17">
        <v>45735</v>
      </c>
      <c r="G114" s="20">
        <v>46022</v>
      </c>
      <c r="H114" s="21">
        <v>62933000</v>
      </c>
      <c r="I114" s="21">
        <v>6695000</v>
      </c>
      <c r="J114" s="5">
        <f>2678000+6695000+6695000+I114</f>
        <v>22763000</v>
      </c>
      <c r="K114" s="6">
        <f t="shared" si="7"/>
        <v>40170000</v>
      </c>
      <c r="L114" s="1">
        <f t="shared" si="8"/>
        <v>0.36170212765957444</v>
      </c>
      <c r="M114" s="14">
        <v>0</v>
      </c>
      <c r="N114" s="13">
        <v>0</v>
      </c>
      <c r="O114" s="9"/>
    </row>
    <row r="115" spans="1:15" ht="60" x14ac:dyDescent="0.25">
      <c r="A115" s="15" t="s">
        <v>314</v>
      </c>
      <c r="B115" s="16">
        <v>19359588</v>
      </c>
      <c r="C115" s="16">
        <v>1</v>
      </c>
      <c r="D115" s="9" t="s">
        <v>357</v>
      </c>
      <c r="E115" s="16" t="s">
        <v>271</v>
      </c>
      <c r="F115" s="17">
        <v>45737</v>
      </c>
      <c r="G115" s="20">
        <v>46022</v>
      </c>
      <c r="H115" s="21">
        <v>72100000</v>
      </c>
      <c r="I115" s="21">
        <v>7725000</v>
      </c>
      <c r="J115" s="5">
        <f>2575000+7725000+7725000+I115</f>
        <v>25750000</v>
      </c>
      <c r="K115" s="6">
        <f t="shared" si="7"/>
        <v>46350000</v>
      </c>
      <c r="L115" s="1">
        <f t="shared" si="8"/>
        <v>0.3571428571428571</v>
      </c>
      <c r="M115" s="14">
        <v>0</v>
      </c>
      <c r="N115" s="13">
        <v>0</v>
      </c>
      <c r="O115" s="9"/>
    </row>
    <row r="116" spans="1:15" ht="60" x14ac:dyDescent="0.25">
      <c r="A116" s="15" t="s">
        <v>315</v>
      </c>
      <c r="B116" s="16">
        <v>52856232</v>
      </c>
      <c r="C116" s="16">
        <v>5</v>
      </c>
      <c r="D116" s="9" t="s">
        <v>358</v>
      </c>
      <c r="E116" s="16" t="s">
        <v>272</v>
      </c>
      <c r="F116" s="17">
        <v>45737</v>
      </c>
      <c r="G116" s="20">
        <v>46022</v>
      </c>
      <c r="H116" s="21">
        <v>35102400</v>
      </c>
      <c r="I116" s="21">
        <v>3722417</v>
      </c>
      <c r="J116" s="5">
        <f>1606800+3708000+3708000+3708000</f>
        <v>12730800</v>
      </c>
      <c r="K116" s="6">
        <f t="shared" si="7"/>
        <v>22371600</v>
      </c>
      <c r="L116" s="1">
        <f t="shared" si="8"/>
        <v>0.36267605633802813</v>
      </c>
      <c r="M116" s="14">
        <v>0</v>
      </c>
      <c r="N116" s="13">
        <v>0</v>
      </c>
      <c r="O116" s="9"/>
    </row>
    <row r="117" spans="1:15" ht="60" x14ac:dyDescent="0.25">
      <c r="A117" s="15" t="s">
        <v>316</v>
      </c>
      <c r="B117" s="16">
        <v>79912906</v>
      </c>
      <c r="C117" s="16">
        <v>9</v>
      </c>
      <c r="D117" s="9" t="s">
        <v>359</v>
      </c>
      <c r="E117" s="16" t="s">
        <v>273</v>
      </c>
      <c r="F117" s="17">
        <v>45736</v>
      </c>
      <c r="G117" s="20">
        <v>46022</v>
      </c>
      <c r="H117" s="21">
        <v>53062167</v>
      </c>
      <c r="I117" s="21">
        <v>5665000</v>
      </c>
      <c r="J117" s="5">
        <f>2077167+5665000+5665000+I117</f>
        <v>19072167</v>
      </c>
      <c r="K117" s="6">
        <f t="shared" si="7"/>
        <v>33990000</v>
      </c>
      <c r="L117" s="1">
        <f t="shared" si="8"/>
        <v>0.3594306090062247</v>
      </c>
      <c r="M117" s="14">
        <v>0</v>
      </c>
      <c r="N117" s="13">
        <v>0</v>
      </c>
      <c r="O117" s="9"/>
    </row>
    <row r="118" spans="1:15" ht="105" x14ac:dyDescent="0.25">
      <c r="A118" s="15" t="s">
        <v>317</v>
      </c>
      <c r="B118" s="16">
        <v>1121335027</v>
      </c>
      <c r="C118" s="16">
        <v>7</v>
      </c>
      <c r="D118" s="9" t="s">
        <v>360</v>
      </c>
      <c r="E118" s="16" t="s">
        <v>274</v>
      </c>
      <c r="F118" s="17">
        <v>45741</v>
      </c>
      <c r="G118" s="20">
        <v>46022</v>
      </c>
      <c r="H118" s="21">
        <v>67533667</v>
      </c>
      <c r="I118" s="21">
        <v>7210000</v>
      </c>
      <c r="J118" s="5">
        <f>2643667+7210000+7210000+I118</f>
        <v>24273667</v>
      </c>
      <c r="K118" s="6">
        <f t="shared" si="7"/>
        <v>43260000</v>
      </c>
      <c r="L118" s="1">
        <f t="shared" si="8"/>
        <v>0.35943060814393513</v>
      </c>
      <c r="M118" s="14">
        <v>0</v>
      </c>
      <c r="N118" s="13">
        <v>0</v>
      </c>
      <c r="O118" s="9"/>
    </row>
    <row r="119" spans="1:15" ht="75" x14ac:dyDescent="0.25">
      <c r="A119" s="15" t="s">
        <v>318</v>
      </c>
      <c r="B119" s="16">
        <v>101912047</v>
      </c>
      <c r="C119" s="16">
        <v>6</v>
      </c>
      <c r="D119" s="9" t="s">
        <v>361</v>
      </c>
      <c r="E119" s="16" t="s">
        <v>275</v>
      </c>
      <c r="F119" s="17">
        <v>45741</v>
      </c>
      <c r="G119" s="20">
        <v>46022</v>
      </c>
      <c r="H119" s="21">
        <v>56856000</v>
      </c>
      <c r="I119" s="21">
        <v>6180000</v>
      </c>
      <c r="J119" s="5">
        <f>1236000+6180000+6180000+I119</f>
        <v>19776000</v>
      </c>
      <c r="K119" s="6">
        <f t="shared" si="7"/>
        <v>37080000</v>
      </c>
      <c r="L119" s="1">
        <f t="shared" si="8"/>
        <v>0.34782608695652173</v>
      </c>
      <c r="M119" s="14">
        <v>0</v>
      </c>
      <c r="N119" s="13">
        <v>0</v>
      </c>
      <c r="O119" s="9"/>
    </row>
    <row r="120" spans="1:15" ht="60" x14ac:dyDescent="0.25">
      <c r="A120" s="15" t="s">
        <v>319</v>
      </c>
      <c r="B120" s="16">
        <v>1073506407</v>
      </c>
      <c r="C120" s="16">
        <v>3</v>
      </c>
      <c r="D120" s="9" t="s">
        <v>362</v>
      </c>
      <c r="E120" s="16" t="s">
        <v>276</v>
      </c>
      <c r="F120" s="17">
        <v>45741</v>
      </c>
      <c r="G120" s="20">
        <v>45832</v>
      </c>
      <c r="H120" s="21">
        <v>26265000</v>
      </c>
      <c r="I120" s="21">
        <v>8755000</v>
      </c>
      <c r="J120" s="5">
        <f>1751000+8755000+8755000+7004000</f>
        <v>26265000</v>
      </c>
      <c r="K120" s="6">
        <f t="shared" si="7"/>
        <v>0</v>
      </c>
      <c r="L120" s="1">
        <f t="shared" si="8"/>
        <v>1</v>
      </c>
      <c r="M120" s="14">
        <v>0</v>
      </c>
      <c r="N120" s="13">
        <v>0</v>
      </c>
      <c r="O120" s="9"/>
    </row>
    <row r="121" spans="1:15" ht="60" x14ac:dyDescent="0.25">
      <c r="A121" s="15" t="s">
        <v>320</v>
      </c>
      <c r="B121" s="16">
        <v>52823212</v>
      </c>
      <c r="C121" s="16">
        <v>6</v>
      </c>
      <c r="D121" s="9" t="s">
        <v>363</v>
      </c>
      <c r="E121" s="16" t="s">
        <v>277</v>
      </c>
      <c r="F121" s="17">
        <v>45741</v>
      </c>
      <c r="G121" s="20">
        <v>46022</v>
      </c>
      <c r="H121" s="21">
        <v>56856000</v>
      </c>
      <c r="I121" s="21">
        <v>6180000</v>
      </c>
      <c r="J121" s="5">
        <f>1236000+6180000+6180000+I121</f>
        <v>19776000</v>
      </c>
      <c r="K121" s="6">
        <f t="shared" si="7"/>
        <v>37080000</v>
      </c>
      <c r="L121" s="1">
        <f t="shared" si="8"/>
        <v>0.34782608695652173</v>
      </c>
      <c r="M121" s="14">
        <v>0</v>
      </c>
      <c r="N121" s="13">
        <v>0</v>
      </c>
      <c r="O121" s="9"/>
    </row>
    <row r="122" spans="1:15" ht="60" x14ac:dyDescent="0.25">
      <c r="A122" s="15" t="s">
        <v>321</v>
      </c>
      <c r="B122" s="16">
        <v>91430804</v>
      </c>
      <c r="C122" s="16">
        <v>0</v>
      </c>
      <c r="D122" s="9" t="s">
        <v>364</v>
      </c>
      <c r="E122" s="16" t="s">
        <v>278</v>
      </c>
      <c r="F122" s="17">
        <v>45743</v>
      </c>
      <c r="G122" s="20">
        <v>46022</v>
      </c>
      <c r="H122" s="21">
        <v>47036667</v>
      </c>
      <c r="I122" s="21">
        <v>5150000</v>
      </c>
      <c r="J122" s="5">
        <f>686667+5150000+5150000+I122</f>
        <v>16136667</v>
      </c>
      <c r="K122" s="6">
        <f t="shared" si="7"/>
        <v>30900000</v>
      </c>
      <c r="L122" s="1">
        <f t="shared" si="8"/>
        <v>0.34306569808613352</v>
      </c>
      <c r="M122" s="14">
        <v>0</v>
      </c>
      <c r="N122" s="13">
        <v>0</v>
      </c>
      <c r="O122" s="9"/>
    </row>
    <row r="123" spans="1:15" ht="75" x14ac:dyDescent="0.25">
      <c r="A123" s="15" t="s">
        <v>322</v>
      </c>
      <c r="B123" s="16">
        <v>52904871</v>
      </c>
      <c r="C123" s="16">
        <v>8</v>
      </c>
      <c r="D123" s="9" t="s">
        <v>365</v>
      </c>
      <c r="E123" s="16" t="s">
        <v>279</v>
      </c>
      <c r="F123" s="17">
        <v>45743</v>
      </c>
      <c r="G123" s="20">
        <v>45803</v>
      </c>
      <c r="H123" s="21">
        <v>18746000</v>
      </c>
      <c r="I123" s="21">
        <v>9373000</v>
      </c>
      <c r="J123" s="5">
        <f>1249733+9373000+8123267</f>
        <v>18746000</v>
      </c>
      <c r="K123" s="6">
        <f>H123-J123</f>
        <v>0</v>
      </c>
      <c r="L123" s="1">
        <f>1-(K123/H123)</f>
        <v>1</v>
      </c>
      <c r="M123" s="14">
        <v>0</v>
      </c>
      <c r="N123" s="13">
        <v>0</v>
      </c>
      <c r="O123" s="9"/>
    </row>
    <row r="124" spans="1:15" ht="105" x14ac:dyDescent="0.25">
      <c r="A124" s="15" t="s">
        <v>378</v>
      </c>
      <c r="B124" s="16">
        <v>860013570</v>
      </c>
      <c r="C124" s="16">
        <v>3</v>
      </c>
      <c r="D124" s="9" t="s">
        <v>379</v>
      </c>
      <c r="E124" s="16" t="s">
        <v>380</v>
      </c>
      <c r="F124" s="20">
        <v>45750</v>
      </c>
      <c r="G124" s="20">
        <v>46022</v>
      </c>
      <c r="H124" s="21">
        <v>2344276199</v>
      </c>
      <c r="I124" s="21"/>
      <c r="J124" s="5">
        <f>122238319+11108172+5263702+64170251+23129960+119574000+23037500+203130+112190052+4285533+19929000+27173229+2102784+135257200+273800+55794000</f>
        <v>725730632</v>
      </c>
      <c r="K124" s="6">
        <f>H124-J124</f>
        <v>1618545567</v>
      </c>
      <c r="L124" s="1">
        <f t="shared" si="8"/>
        <v>0.30957556635586525</v>
      </c>
      <c r="M124" s="14"/>
      <c r="N124" s="13"/>
      <c r="O124" s="9"/>
    </row>
    <row r="125" spans="1:15" ht="75" x14ac:dyDescent="0.25">
      <c r="A125" s="15" t="s">
        <v>323</v>
      </c>
      <c r="B125" s="16">
        <v>52696298</v>
      </c>
      <c r="C125" s="16">
        <v>3</v>
      </c>
      <c r="D125" s="9" t="s">
        <v>366</v>
      </c>
      <c r="E125" s="16" t="s">
        <v>280</v>
      </c>
      <c r="F125" s="17">
        <v>45744</v>
      </c>
      <c r="G125" s="20">
        <v>46018</v>
      </c>
      <c r="H125" s="21">
        <v>101970000</v>
      </c>
      <c r="I125" s="21">
        <v>11330000</v>
      </c>
      <c r="J125" s="5">
        <f>1330000+11330000+11330000+I125</f>
        <v>35320000</v>
      </c>
      <c r="K125" s="6">
        <f t="shared" si="7"/>
        <v>66650000</v>
      </c>
      <c r="L125" s="1">
        <f t="shared" si="8"/>
        <v>0.34637638521133662</v>
      </c>
      <c r="M125" s="14">
        <v>0</v>
      </c>
      <c r="N125" s="13">
        <v>0</v>
      </c>
      <c r="O125" s="9"/>
    </row>
    <row r="126" spans="1:15" ht="105" x14ac:dyDescent="0.25">
      <c r="A126" s="15" t="s">
        <v>324</v>
      </c>
      <c r="B126" s="16">
        <v>93356952</v>
      </c>
      <c r="C126" s="16">
        <v>3</v>
      </c>
      <c r="D126" s="9" t="s">
        <v>367</v>
      </c>
      <c r="E126" s="16" t="s">
        <v>281</v>
      </c>
      <c r="F126" s="17">
        <v>45744</v>
      </c>
      <c r="G126" s="20">
        <v>45804</v>
      </c>
      <c r="H126" s="21">
        <v>14420000</v>
      </c>
      <c r="I126" s="21">
        <v>7210000</v>
      </c>
      <c r="J126" s="5">
        <f>721000+7210000+6489000</f>
        <v>14420000</v>
      </c>
      <c r="K126" s="6">
        <f t="shared" si="7"/>
        <v>0</v>
      </c>
      <c r="L126" s="1">
        <f t="shared" si="8"/>
        <v>1</v>
      </c>
      <c r="M126" s="14">
        <v>0</v>
      </c>
      <c r="N126" s="13">
        <v>0</v>
      </c>
      <c r="O126" s="9"/>
    </row>
    <row r="127" spans="1:15" ht="105" x14ac:dyDescent="0.25">
      <c r="A127" s="15" t="s">
        <v>325</v>
      </c>
      <c r="B127" s="16">
        <v>1049640069</v>
      </c>
      <c r="C127" s="16">
        <v>2</v>
      </c>
      <c r="D127" s="9" t="s">
        <v>368</v>
      </c>
      <c r="E127" s="16" t="s">
        <v>282</v>
      </c>
      <c r="F127" s="17">
        <v>45744</v>
      </c>
      <c r="G127" s="20">
        <v>45804</v>
      </c>
      <c r="H127" s="21">
        <v>14420000</v>
      </c>
      <c r="I127" s="21">
        <v>7210000</v>
      </c>
      <c r="J127" s="5">
        <f>721000+I127+6489000</f>
        <v>14420000</v>
      </c>
      <c r="K127" s="6">
        <f t="shared" ref="K127:K158" si="9">H127-J127</f>
        <v>0</v>
      </c>
      <c r="L127" s="1">
        <f>1-(K127/H127)</f>
        <v>1</v>
      </c>
      <c r="M127" s="14">
        <v>0</v>
      </c>
      <c r="N127" s="13">
        <v>0</v>
      </c>
      <c r="O127" s="9"/>
    </row>
    <row r="128" spans="1:15" ht="60" x14ac:dyDescent="0.25">
      <c r="A128" s="15" t="s">
        <v>450</v>
      </c>
      <c r="B128" s="16">
        <v>1010179404</v>
      </c>
      <c r="C128" s="16">
        <v>9</v>
      </c>
      <c r="D128" s="34" t="s">
        <v>461</v>
      </c>
      <c r="E128" s="16" t="s">
        <v>381</v>
      </c>
      <c r="F128" s="17">
        <v>45748</v>
      </c>
      <c r="G128" s="17">
        <v>46022</v>
      </c>
      <c r="H128" s="18">
        <v>64890000</v>
      </c>
      <c r="I128" s="18">
        <v>7210000</v>
      </c>
      <c r="J128" s="5">
        <f>I128+I128+I128</f>
        <v>21630000</v>
      </c>
      <c r="K128" s="35">
        <f t="shared" si="9"/>
        <v>43260000</v>
      </c>
      <c r="L128" s="1">
        <f>1-(K128/H128)</f>
        <v>0.33333333333333337</v>
      </c>
      <c r="M128" s="14">
        <v>0</v>
      </c>
      <c r="N128" s="13"/>
      <c r="O128" s="9"/>
    </row>
    <row r="129" spans="1:15" ht="90" x14ac:dyDescent="0.25">
      <c r="A129" s="15" t="s">
        <v>451</v>
      </c>
      <c r="B129" s="16">
        <v>1121333092</v>
      </c>
      <c r="C129" s="16">
        <v>7</v>
      </c>
      <c r="D129" s="34" t="s">
        <v>462</v>
      </c>
      <c r="E129" s="16" t="s">
        <v>382</v>
      </c>
      <c r="F129" s="17">
        <v>45749</v>
      </c>
      <c r="G129" s="17">
        <v>45838</v>
      </c>
      <c r="H129" s="18">
        <v>13905000</v>
      </c>
      <c r="I129" s="18">
        <v>4635000</v>
      </c>
      <c r="J129" s="5">
        <f>4480500+2163000</f>
        <v>6643500</v>
      </c>
      <c r="K129" s="35">
        <f t="shared" si="9"/>
        <v>7261500</v>
      </c>
      <c r="L129" s="1">
        <f>1-(K129/H129)</f>
        <v>0.47777777777777775</v>
      </c>
      <c r="M129" s="14">
        <v>0</v>
      </c>
      <c r="N129" s="13"/>
      <c r="O129" s="9"/>
    </row>
    <row r="130" spans="1:15" ht="90" x14ac:dyDescent="0.25">
      <c r="A130" s="15" t="s">
        <v>452</v>
      </c>
      <c r="B130" s="16">
        <v>1129570405</v>
      </c>
      <c r="C130" s="16">
        <v>3</v>
      </c>
      <c r="D130" s="34" t="s">
        <v>463</v>
      </c>
      <c r="E130" s="16" t="s">
        <v>383</v>
      </c>
      <c r="F130" s="17">
        <v>45748</v>
      </c>
      <c r="G130" s="17">
        <v>46022</v>
      </c>
      <c r="H130" s="18">
        <v>60255000</v>
      </c>
      <c r="I130" s="18">
        <v>6695000</v>
      </c>
      <c r="J130" s="5">
        <f>I130+I130+I130</f>
        <v>20085000</v>
      </c>
      <c r="K130" s="35">
        <f t="shared" si="9"/>
        <v>40170000</v>
      </c>
      <c r="L130" s="1">
        <f t="shared" ref="L130:L193" si="10">1-(K130/H130)</f>
        <v>0.33333333333333337</v>
      </c>
      <c r="M130" s="14">
        <v>0</v>
      </c>
      <c r="N130" s="13"/>
      <c r="O130" s="9"/>
    </row>
    <row r="131" spans="1:15" ht="75" x14ac:dyDescent="0.25">
      <c r="A131" s="15" t="s">
        <v>453</v>
      </c>
      <c r="B131" s="16">
        <v>80777891</v>
      </c>
      <c r="C131" s="16">
        <v>1</v>
      </c>
      <c r="D131" s="34" t="s">
        <v>464</v>
      </c>
      <c r="E131" s="16" t="s">
        <v>384</v>
      </c>
      <c r="F131" s="17">
        <v>45748</v>
      </c>
      <c r="G131" s="17">
        <v>46022</v>
      </c>
      <c r="H131" s="18">
        <v>55620000</v>
      </c>
      <c r="I131" s="18">
        <v>6180000</v>
      </c>
      <c r="J131" s="5">
        <f>I131+I131+I131</f>
        <v>18540000</v>
      </c>
      <c r="K131" s="35">
        <f t="shared" si="9"/>
        <v>37080000</v>
      </c>
      <c r="L131" s="1">
        <f t="shared" si="10"/>
        <v>0.33333333333333337</v>
      </c>
      <c r="M131" s="14">
        <v>0</v>
      </c>
      <c r="N131" s="13"/>
      <c r="O131" s="9"/>
    </row>
    <row r="132" spans="1:15" ht="120" x14ac:dyDescent="0.25">
      <c r="A132" s="15" t="s">
        <v>454</v>
      </c>
      <c r="B132" s="16">
        <v>80931890</v>
      </c>
      <c r="C132" s="16">
        <v>4</v>
      </c>
      <c r="D132" s="34" t="s">
        <v>465</v>
      </c>
      <c r="E132" s="16" t="s">
        <v>385</v>
      </c>
      <c r="F132" s="17">
        <v>45748</v>
      </c>
      <c r="G132" s="17">
        <v>46022</v>
      </c>
      <c r="H132" s="18">
        <v>78795000</v>
      </c>
      <c r="I132" s="18">
        <v>8755000</v>
      </c>
      <c r="J132" s="5">
        <f>I132+I132+I132</f>
        <v>26265000</v>
      </c>
      <c r="K132" s="35">
        <f t="shared" si="9"/>
        <v>52530000</v>
      </c>
      <c r="L132" s="1">
        <f t="shared" si="10"/>
        <v>0.33333333333333337</v>
      </c>
      <c r="M132" s="14">
        <v>0</v>
      </c>
      <c r="N132" s="13"/>
      <c r="O132" s="9"/>
    </row>
    <row r="133" spans="1:15" ht="105" x14ac:dyDescent="0.25">
      <c r="A133" s="15" t="s">
        <v>455</v>
      </c>
      <c r="B133" s="16">
        <v>1060647586</v>
      </c>
      <c r="C133" s="16">
        <v>0</v>
      </c>
      <c r="D133" s="34" t="s">
        <v>466</v>
      </c>
      <c r="E133" s="16" t="s">
        <v>386</v>
      </c>
      <c r="F133" s="17">
        <v>45748</v>
      </c>
      <c r="G133" s="17">
        <v>46022</v>
      </c>
      <c r="H133" s="18">
        <v>50985000</v>
      </c>
      <c r="I133" s="18">
        <v>5665000</v>
      </c>
      <c r="J133" s="5">
        <f>I133+I133</f>
        <v>11330000</v>
      </c>
      <c r="K133" s="35">
        <f t="shared" si="9"/>
        <v>39655000</v>
      </c>
      <c r="L133" s="1">
        <f t="shared" si="10"/>
        <v>0.22222222222222221</v>
      </c>
      <c r="M133" s="14">
        <v>0</v>
      </c>
      <c r="N133" s="13"/>
      <c r="O133" s="9"/>
    </row>
    <row r="134" spans="1:15" ht="45" x14ac:dyDescent="0.25">
      <c r="A134" s="15" t="s">
        <v>456</v>
      </c>
      <c r="B134" s="16">
        <v>51980182</v>
      </c>
      <c r="C134" s="16">
        <v>1</v>
      </c>
      <c r="D134" s="34" t="s">
        <v>467</v>
      </c>
      <c r="E134" s="16" t="s">
        <v>387</v>
      </c>
      <c r="F134" s="17">
        <v>45749</v>
      </c>
      <c r="G134" s="17">
        <v>46022</v>
      </c>
      <c r="H134" s="18">
        <v>38328017</v>
      </c>
      <c r="I134" s="18">
        <v>4274500</v>
      </c>
      <c r="J134" s="5">
        <f>4132017+I134+I134</f>
        <v>12681017</v>
      </c>
      <c r="K134" s="35">
        <f t="shared" si="9"/>
        <v>25647000</v>
      </c>
      <c r="L134" s="1">
        <f t="shared" si="10"/>
        <v>0.33085502440681969</v>
      </c>
      <c r="M134" s="14">
        <v>0</v>
      </c>
      <c r="N134" s="13"/>
      <c r="O134" s="9"/>
    </row>
    <row r="135" spans="1:15" ht="90" x14ac:dyDescent="0.25">
      <c r="A135" s="15" t="s">
        <v>457</v>
      </c>
      <c r="B135" s="16">
        <v>1121338894</v>
      </c>
      <c r="C135" s="16">
        <v>1</v>
      </c>
      <c r="D135" s="34" t="s">
        <v>468</v>
      </c>
      <c r="E135" s="16" t="s">
        <v>388</v>
      </c>
      <c r="F135" s="17">
        <v>45754</v>
      </c>
      <c r="G135" s="17">
        <v>46022</v>
      </c>
      <c r="H135" s="18">
        <v>50796167</v>
      </c>
      <c r="I135" s="18">
        <v>5665000</v>
      </c>
      <c r="J135" s="5">
        <f>4532000+I135+I135</f>
        <v>15862000</v>
      </c>
      <c r="K135" s="35">
        <f t="shared" si="9"/>
        <v>34934167</v>
      </c>
      <c r="L135" s="1">
        <f t="shared" si="10"/>
        <v>0.31226765594341011</v>
      </c>
      <c r="M135" s="14">
        <v>0</v>
      </c>
      <c r="N135" s="13"/>
      <c r="O135" s="9"/>
    </row>
    <row r="136" spans="1:15" ht="75" x14ac:dyDescent="0.25">
      <c r="A136" s="15" t="s">
        <v>458</v>
      </c>
      <c r="B136" s="16">
        <v>1015400397</v>
      </c>
      <c r="C136" s="16">
        <v>0</v>
      </c>
      <c r="D136" s="34" t="s">
        <v>469</v>
      </c>
      <c r="E136" s="16" t="s">
        <v>389</v>
      </c>
      <c r="F136" s="17">
        <v>45756</v>
      </c>
      <c r="G136" s="17">
        <v>46022</v>
      </c>
      <c r="H136" s="18">
        <v>9900000</v>
      </c>
      <c r="I136" s="18">
        <v>3300000</v>
      </c>
      <c r="J136" s="5">
        <f>2640000+I136+I136</f>
        <v>9240000</v>
      </c>
      <c r="K136" s="35">
        <f t="shared" si="9"/>
        <v>660000</v>
      </c>
      <c r="L136" s="1">
        <f t="shared" si="10"/>
        <v>0.93333333333333335</v>
      </c>
      <c r="M136" s="14">
        <v>0</v>
      </c>
      <c r="N136" s="13"/>
      <c r="O136" s="9"/>
    </row>
    <row r="137" spans="1:15" ht="75" x14ac:dyDescent="0.25">
      <c r="A137" s="15" t="s">
        <v>459</v>
      </c>
      <c r="B137" s="16">
        <v>52786047</v>
      </c>
      <c r="C137" s="16">
        <v>8</v>
      </c>
      <c r="D137" s="34" t="s">
        <v>470</v>
      </c>
      <c r="E137" s="16" t="s">
        <v>390</v>
      </c>
      <c r="F137" s="17">
        <v>45749</v>
      </c>
      <c r="G137" s="17">
        <v>46022</v>
      </c>
      <c r="H137" s="18">
        <v>78503167</v>
      </c>
      <c r="I137" s="18">
        <v>8755000</v>
      </c>
      <c r="J137" s="5">
        <f>8463167+I137+I137</f>
        <v>25973167</v>
      </c>
      <c r="K137" s="35">
        <f t="shared" si="9"/>
        <v>52530000</v>
      </c>
      <c r="L137" s="1">
        <f t="shared" si="10"/>
        <v>0.33085502142862588</v>
      </c>
      <c r="M137" s="14">
        <v>0</v>
      </c>
      <c r="N137" s="13"/>
      <c r="O137" s="9"/>
    </row>
    <row r="138" spans="1:15" ht="135" x14ac:dyDescent="0.25">
      <c r="A138" s="15" t="s">
        <v>460</v>
      </c>
      <c r="B138" s="16">
        <v>1006665445</v>
      </c>
      <c r="C138" s="16">
        <v>0</v>
      </c>
      <c r="D138" s="34" t="s">
        <v>471</v>
      </c>
      <c r="E138" s="16" t="s">
        <v>391</v>
      </c>
      <c r="F138" s="17">
        <v>45749</v>
      </c>
      <c r="G138" s="17">
        <v>46022</v>
      </c>
      <c r="H138" s="18">
        <v>41560500</v>
      </c>
      <c r="I138" s="18">
        <v>4635000</v>
      </c>
      <c r="J138" s="5">
        <f>4480500+I138+I138</f>
        <v>13750500</v>
      </c>
      <c r="K138" s="35">
        <f t="shared" si="9"/>
        <v>27810000</v>
      </c>
      <c r="L138" s="1">
        <f t="shared" si="10"/>
        <v>0.33085501858736055</v>
      </c>
      <c r="M138" s="14">
        <v>0</v>
      </c>
      <c r="N138" s="13"/>
      <c r="O138" s="9"/>
    </row>
    <row r="139" spans="1:15" ht="75" x14ac:dyDescent="0.25">
      <c r="A139" s="15" t="s">
        <v>15</v>
      </c>
      <c r="B139" s="16">
        <v>1081817848</v>
      </c>
      <c r="C139" s="16">
        <v>1</v>
      </c>
      <c r="D139" s="9" t="s">
        <v>374</v>
      </c>
      <c r="E139" s="16" t="s">
        <v>375</v>
      </c>
      <c r="F139" s="17">
        <v>45750</v>
      </c>
      <c r="G139" s="20">
        <v>46022</v>
      </c>
      <c r="H139" s="21">
        <v>74709334</v>
      </c>
      <c r="I139" s="21">
        <v>8755000</v>
      </c>
      <c r="J139" s="5">
        <v>2042833</v>
      </c>
      <c r="K139" s="6">
        <f t="shared" si="9"/>
        <v>72666501</v>
      </c>
      <c r="L139" s="1">
        <f t="shared" si="10"/>
        <v>2.7343745294262645E-2</v>
      </c>
      <c r="M139" s="14">
        <v>0</v>
      </c>
      <c r="N139" s="13">
        <v>0</v>
      </c>
      <c r="O139" s="9"/>
    </row>
    <row r="140" spans="1:15" s="40" customFormat="1" ht="60" x14ac:dyDescent="0.25">
      <c r="A140" s="15" t="s">
        <v>472</v>
      </c>
      <c r="B140" s="16">
        <v>900239396</v>
      </c>
      <c r="C140" s="16">
        <v>3</v>
      </c>
      <c r="D140" s="36" t="s">
        <v>527</v>
      </c>
      <c r="E140" s="16" t="s">
        <v>392</v>
      </c>
      <c r="F140" s="17"/>
      <c r="G140" s="17">
        <v>46022</v>
      </c>
      <c r="H140" s="18">
        <v>42516678</v>
      </c>
      <c r="I140" s="18">
        <v>42516678</v>
      </c>
      <c r="J140" s="5">
        <v>4441252</v>
      </c>
      <c r="K140" s="37">
        <f t="shared" si="9"/>
        <v>38075426</v>
      </c>
      <c r="L140" s="38">
        <f t="shared" si="10"/>
        <v>0.10445905486783325</v>
      </c>
      <c r="M140" s="39">
        <v>0</v>
      </c>
      <c r="N140" s="21"/>
      <c r="O140" s="36"/>
    </row>
    <row r="141" spans="1:15" ht="60" x14ac:dyDescent="0.25">
      <c r="A141" s="15" t="s">
        <v>473</v>
      </c>
      <c r="B141" s="16">
        <v>56098544</v>
      </c>
      <c r="C141" s="16">
        <v>1</v>
      </c>
      <c r="D141" s="9" t="s">
        <v>528</v>
      </c>
      <c r="E141" s="16" t="s">
        <v>393</v>
      </c>
      <c r="F141" s="17">
        <v>45750</v>
      </c>
      <c r="G141" s="17">
        <v>46022</v>
      </c>
      <c r="H141" s="18">
        <v>50607333</v>
      </c>
      <c r="I141" s="18">
        <v>5665000</v>
      </c>
      <c r="J141" s="5">
        <f>5287333+I141+I141</f>
        <v>16617333</v>
      </c>
      <c r="K141" s="35">
        <f t="shared" si="9"/>
        <v>33990000</v>
      </c>
      <c r="L141" s="1">
        <f t="shared" si="10"/>
        <v>0.32835820453134723</v>
      </c>
      <c r="M141" s="14">
        <v>0</v>
      </c>
      <c r="N141" s="13"/>
      <c r="O141" s="9"/>
    </row>
    <row r="142" spans="1:15" ht="120" x14ac:dyDescent="0.25">
      <c r="A142" s="15" t="s">
        <v>474</v>
      </c>
      <c r="B142" s="16">
        <v>1032376251</v>
      </c>
      <c r="C142" s="16">
        <v>1</v>
      </c>
      <c r="D142" s="9" t="s">
        <v>529</v>
      </c>
      <c r="E142" s="16" t="s">
        <v>394</v>
      </c>
      <c r="F142" s="17">
        <v>45750</v>
      </c>
      <c r="G142" s="17">
        <v>46022</v>
      </c>
      <c r="H142" s="18">
        <v>29480000</v>
      </c>
      <c r="I142" s="18">
        <v>3300000</v>
      </c>
      <c r="J142" s="5">
        <f>3080000+I142+I142</f>
        <v>9680000</v>
      </c>
      <c r="K142" s="6">
        <f t="shared" si="9"/>
        <v>19800000</v>
      </c>
      <c r="L142" s="1">
        <f t="shared" si="10"/>
        <v>0.32835820895522383</v>
      </c>
      <c r="M142" s="14">
        <v>0</v>
      </c>
      <c r="N142" s="13"/>
      <c r="O142" s="9"/>
    </row>
    <row r="143" spans="1:15" ht="105" x14ac:dyDescent="0.25">
      <c r="A143" s="15" t="s">
        <v>475</v>
      </c>
      <c r="B143" s="16">
        <v>52712916</v>
      </c>
      <c r="C143" s="16">
        <v>6</v>
      </c>
      <c r="D143" s="9" t="s">
        <v>530</v>
      </c>
      <c r="E143" s="16" t="s">
        <v>395</v>
      </c>
      <c r="F143" s="17">
        <v>45751</v>
      </c>
      <c r="G143" s="17">
        <v>46022</v>
      </c>
      <c r="H143" s="18">
        <v>64409333</v>
      </c>
      <c r="I143" s="18">
        <v>7210000</v>
      </c>
      <c r="J143" s="5">
        <f>6489000+7210000+I143</f>
        <v>20909000</v>
      </c>
      <c r="K143" s="35">
        <f t="shared" si="9"/>
        <v>43500333</v>
      </c>
      <c r="L143" s="1">
        <f t="shared" si="10"/>
        <v>0.32462686735166157</v>
      </c>
      <c r="M143" s="14">
        <v>0</v>
      </c>
      <c r="N143" s="13"/>
      <c r="O143" s="9"/>
    </row>
    <row r="144" spans="1:15" ht="75" x14ac:dyDescent="0.25">
      <c r="A144" s="15" t="s">
        <v>22</v>
      </c>
      <c r="B144" s="16">
        <v>1055228274</v>
      </c>
      <c r="C144" s="16">
        <v>2</v>
      </c>
      <c r="D144" s="9" t="s">
        <v>531</v>
      </c>
      <c r="E144" s="16" t="s">
        <v>396</v>
      </c>
      <c r="F144" s="17">
        <v>45750</v>
      </c>
      <c r="G144" s="17">
        <v>46022</v>
      </c>
      <c r="H144" s="18">
        <v>55208000</v>
      </c>
      <c r="I144" s="18">
        <v>6180000</v>
      </c>
      <c r="J144" s="5">
        <f>5768000+I144+I144</f>
        <v>18128000</v>
      </c>
      <c r="K144" s="6">
        <f t="shared" si="9"/>
        <v>37080000</v>
      </c>
      <c r="L144" s="1">
        <f t="shared" si="10"/>
        <v>0.32835820895522383</v>
      </c>
      <c r="M144" s="14">
        <v>0</v>
      </c>
      <c r="N144" s="13"/>
      <c r="O144" s="9"/>
    </row>
    <row r="145" spans="1:15" ht="105" x14ac:dyDescent="0.25">
      <c r="A145" s="15" t="s">
        <v>476</v>
      </c>
      <c r="B145" s="16">
        <v>53036634</v>
      </c>
      <c r="C145" s="16">
        <v>8</v>
      </c>
      <c r="D145" s="9" t="s">
        <v>532</v>
      </c>
      <c r="E145" s="16" t="s">
        <v>397</v>
      </c>
      <c r="F145" s="17">
        <v>45751</v>
      </c>
      <c r="G145" s="17">
        <v>45811</v>
      </c>
      <c r="H145" s="18">
        <v>17510000</v>
      </c>
      <c r="I145" s="18">
        <v>8755000</v>
      </c>
      <c r="J145" s="5">
        <f>7879500+8755000+875500</f>
        <v>17510000</v>
      </c>
      <c r="K145" s="6">
        <f t="shared" si="9"/>
        <v>0</v>
      </c>
      <c r="L145" s="1">
        <f t="shared" si="10"/>
        <v>1</v>
      </c>
      <c r="M145" s="14">
        <v>0</v>
      </c>
      <c r="N145" s="13"/>
      <c r="O145" s="9"/>
    </row>
    <row r="146" spans="1:15" ht="60" x14ac:dyDescent="0.25">
      <c r="A146" s="15" t="s">
        <v>477</v>
      </c>
      <c r="B146" s="16">
        <v>15435023</v>
      </c>
      <c r="C146" s="16">
        <v>1</v>
      </c>
      <c r="D146" s="9" t="s">
        <v>533</v>
      </c>
      <c r="E146" s="16" t="s">
        <v>398</v>
      </c>
      <c r="F146" s="17">
        <v>45751</v>
      </c>
      <c r="G146" s="17">
        <v>45841</v>
      </c>
      <c r="H146" s="18">
        <v>18540000</v>
      </c>
      <c r="I146" s="18">
        <v>6180000</v>
      </c>
      <c r="J146" s="5">
        <f>5562000+5562000+5562000</f>
        <v>16686000</v>
      </c>
      <c r="K146" s="6">
        <f t="shared" si="9"/>
        <v>1854000</v>
      </c>
      <c r="L146" s="1">
        <f t="shared" si="10"/>
        <v>0.9</v>
      </c>
      <c r="M146" s="14">
        <v>0</v>
      </c>
      <c r="N146" s="13"/>
      <c r="O146" s="9"/>
    </row>
    <row r="147" spans="1:15" ht="45" x14ac:dyDescent="0.25">
      <c r="A147" s="15" t="s">
        <v>478</v>
      </c>
      <c r="B147" s="16">
        <v>800252836</v>
      </c>
      <c r="C147" s="16">
        <v>3</v>
      </c>
      <c r="D147" s="9" t="s">
        <v>534</v>
      </c>
      <c r="E147" s="16" t="s">
        <v>399</v>
      </c>
      <c r="F147" s="17">
        <v>45761</v>
      </c>
      <c r="G147" s="17">
        <v>46022</v>
      </c>
      <c r="H147" s="18">
        <v>21869820</v>
      </c>
      <c r="I147" s="18">
        <v>21869820</v>
      </c>
      <c r="J147" s="5">
        <f>1265723+2233630+223630</f>
        <v>3722983</v>
      </c>
      <c r="K147" s="6">
        <f t="shared" si="9"/>
        <v>18146837</v>
      </c>
      <c r="L147" s="1">
        <f t="shared" si="10"/>
        <v>0.17023381993999032</v>
      </c>
      <c r="M147" s="14">
        <v>0</v>
      </c>
      <c r="N147" s="13"/>
      <c r="O147" s="9"/>
    </row>
    <row r="148" spans="1:15" ht="75" x14ac:dyDescent="0.25">
      <c r="A148" s="15" t="s">
        <v>479</v>
      </c>
      <c r="B148" s="16">
        <v>1003313124</v>
      </c>
      <c r="C148" s="16">
        <v>0</v>
      </c>
      <c r="D148" s="9" t="s">
        <v>535</v>
      </c>
      <c r="E148" s="16" t="s">
        <v>400</v>
      </c>
      <c r="F148" s="17">
        <v>45755</v>
      </c>
      <c r="G148" s="17">
        <v>46022</v>
      </c>
      <c r="H148" s="18">
        <v>37473117</v>
      </c>
      <c r="I148" s="18">
        <v>4274500</v>
      </c>
      <c r="J148" s="5">
        <f>3277117+I148+I148</f>
        <v>11826117</v>
      </c>
      <c r="K148" s="6">
        <f t="shared" si="9"/>
        <v>25647000</v>
      </c>
      <c r="L148" s="1">
        <f t="shared" si="10"/>
        <v>0.31558935970018187</v>
      </c>
      <c r="M148" s="14">
        <v>0</v>
      </c>
      <c r="N148" s="13"/>
      <c r="O148" s="9"/>
    </row>
    <row r="149" spans="1:15" ht="75" x14ac:dyDescent="0.25">
      <c r="A149" s="15" t="s">
        <v>480</v>
      </c>
      <c r="B149" s="16">
        <v>1233345600</v>
      </c>
      <c r="C149" s="16">
        <v>7</v>
      </c>
      <c r="D149" s="9" t="s">
        <v>536</v>
      </c>
      <c r="E149" s="16" t="s">
        <v>401</v>
      </c>
      <c r="F149" s="17">
        <v>45754</v>
      </c>
      <c r="G149" s="17">
        <v>46022</v>
      </c>
      <c r="H149" s="18">
        <v>35349600</v>
      </c>
      <c r="I149" s="18">
        <v>4017000</v>
      </c>
      <c r="J149" s="5">
        <f>3213600+4017000+I149</f>
        <v>11247600</v>
      </c>
      <c r="K149" s="6">
        <f t="shared" si="9"/>
        <v>24102000</v>
      </c>
      <c r="L149" s="1">
        <f t="shared" si="10"/>
        <v>0.31818181818181823</v>
      </c>
      <c r="M149" s="14">
        <v>0</v>
      </c>
      <c r="N149" s="13"/>
      <c r="O149" s="9"/>
    </row>
    <row r="150" spans="1:15" ht="45" x14ac:dyDescent="0.25">
      <c r="A150" s="15" t="s">
        <v>481</v>
      </c>
      <c r="B150" s="16">
        <v>17959320</v>
      </c>
      <c r="C150" s="16">
        <v>0</v>
      </c>
      <c r="D150" s="9" t="s">
        <v>537</v>
      </c>
      <c r="E150" s="16" t="s">
        <v>402</v>
      </c>
      <c r="F150" s="17">
        <v>45754</v>
      </c>
      <c r="G150" s="17">
        <v>46022</v>
      </c>
      <c r="H150" s="18">
        <v>55002000</v>
      </c>
      <c r="I150" s="18">
        <v>6180000</v>
      </c>
      <c r="J150" s="5">
        <f>4944000+6180000+I150</f>
        <v>17304000</v>
      </c>
      <c r="K150" s="6">
        <f t="shared" si="9"/>
        <v>37698000</v>
      </c>
      <c r="L150" s="1">
        <f t="shared" si="10"/>
        <v>0.3146067415730337</v>
      </c>
      <c r="M150" s="14">
        <v>0</v>
      </c>
      <c r="N150" s="13"/>
      <c r="O150" s="9"/>
    </row>
    <row r="151" spans="1:15" ht="75" x14ac:dyDescent="0.25">
      <c r="A151" s="15" t="s">
        <v>19</v>
      </c>
      <c r="B151" s="16">
        <v>53106586</v>
      </c>
      <c r="C151" s="16">
        <v>3</v>
      </c>
      <c r="D151" s="9" t="s">
        <v>538</v>
      </c>
      <c r="E151" s="16" t="s">
        <v>403</v>
      </c>
      <c r="F151" s="17">
        <v>45756</v>
      </c>
      <c r="G151" s="17">
        <v>46022</v>
      </c>
      <c r="H151" s="18">
        <v>94451000</v>
      </c>
      <c r="I151" s="18">
        <v>10815000</v>
      </c>
      <c r="J151" s="5">
        <f>7931000+10815000+I151</f>
        <v>29561000</v>
      </c>
      <c r="K151" s="6">
        <f t="shared" si="9"/>
        <v>64890000</v>
      </c>
      <c r="L151" s="1">
        <f t="shared" si="10"/>
        <v>0.31297709923664119</v>
      </c>
      <c r="M151" s="14">
        <v>0</v>
      </c>
      <c r="N151" s="13"/>
      <c r="O151" s="9"/>
    </row>
    <row r="152" spans="1:15" ht="120" x14ac:dyDescent="0.25">
      <c r="A152" s="15" t="s">
        <v>482</v>
      </c>
      <c r="B152" s="16">
        <v>1014195504</v>
      </c>
      <c r="C152" s="16">
        <v>9</v>
      </c>
      <c r="D152" s="9" t="s">
        <v>539</v>
      </c>
      <c r="E152" s="16" t="s">
        <v>404</v>
      </c>
      <c r="F152" s="17">
        <v>45757</v>
      </c>
      <c r="G152" s="17">
        <v>45816</v>
      </c>
      <c r="H152" s="18">
        <v>12360000</v>
      </c>
      <c r="I152" s="18">
        <v>6180000</v>
      </c>
      <c r="J152" s="5">
        <f>4326000+6180000+1854000</f>
        <v>12360000</v>
      </c>
      <c r="K152" s="6">
        <f t="shared" si="9"/>
        <v>0</v>
      </c>
      <c r="L152" s="1">
        <f t="shared" si="10"/>
        <v>1</v>
      </c>
      <c r="M152" s="14">
        <v>0</v>
      </c>
      <c r="N152" s="13"/>
      <c r="O152" s="9"/>
    </row>
    <row r="153" spans="1:15" ht="60" x14ac:dyDescent="0.25">
      <c r="A153" s="15" t="s">
        <v>483</v>
      </c>
      <c r="B153" s="16">
        <v>79715801</v>
      </c>
      <c r="C153" s="16">
        <v>1</v>
      </c>
      <c r="D153" s="9" t="s">
        <v>540</v>
      </c>
      <c r="E153" s="16" t="s">
        <v>405</v>
      </c>
      <c r="F153" s="17">
        <v>45757</v>
      </c>
      <c r="G153" s="17">
        <v>46022</v>
      </c>
      <c r="H153" s="18">
        <v>62727000</v>
      </c>
      <c r="I153" s="18">
        <v>7210000</v>
      </c>
      <c r="J153" s="5">
        <f>5047000+7210000+7210000</f>
        <v>19467000</v>
      </c>
      <c r="K153" s="6">
        <f t="shared" si="9"/>
        <v>43260000</v>
      </c>
      <c r="L153" s="1">
        <f t="shared" si="10"/>
        <v>0.31034482758620685</v>
      </c>
      <c r="M153" s="14">
        <v>0</v>
      </c>
      <c r="N153" s="13"/>
      <c r="O153" s="9"/>
    </row>
    <row r="154" spans="1:15" ht="90" x14ac:dyDescent="0.25">
      <c r="A154" s="15" t="s">
        <v>484</v>
      </c>
      <c r="B154" s="16">
        <v>79304933</v>
      </c>
      <c r="C154" s="16">
        <v>1</v>
      </c>
      <c r="D154" s="9" t="s">
        <v>541</v>
      </c>
      <c r="E154" s="16" t="s">
        <v>406</v>
      </c>
      <c r="F154" s="17">
        <v>45757</v>
      </c>
      <c r="G154" s="17">
        <v>46022</v>
      </c>
      <c r="H154" s="18">
        <v>62727000</v>
      </c>
      <c r="I154" s="18">
        <v>7210000</v>
      </c>
      <c r="J154" s="5">
        <f>5047000+7210000+I154</f>
        <v>19467000</v>
      </c>
      <c r="K154" s="6">
        <f t="shared" si="9"/>
        <v>43260000</v>
      </c>
      <c r="L154" s="1">
        <f t="shared" si="10"/>
        <v>0.31034482758620685</v>
      </c>
      <c r="M154" s="14">
        <v>0</v>
      </c>
      <c r="N154" s="13"/>
      <c r="O154" s="9"/>
    </row>
    <row r="155" spans="1:15" ht="75" x14ac:dyDescent="0.25">
      <c r="A155" s="15" t="s">
        <v>485</v>
      </c>
      <c r="B155" s="16">
        <v>1127947690</v>
      </c>
      <c r="C155" s="16">
        <v>9</v>
      </c>
      <c r="D155" s="9" t="s">
        <v>542</v>
      </c>
      <c r="E155" s="16" t="s">
        <v>407</v>
      </c>
      <c r="F155" s="17">
        <v>45757</v>
      </c>
      <c r="G155" s="17">
        <v>46000</v>
      </c>
      <c r="H155" s="18">
        <v>74984000</v>
      </c>
      <c r="I155" s="18">
        <v>9373000</v>
      </c>
      <c r="J155" s="5">
        <f>6561000+I155+I155</f>
        <v>25307000</v>
      </c>
      <c r="K155" s="6">
        <f t="shared" si="9"/>
        <v>49677000</v>
      </c>
      <c r="L155" s="1">
        <f t="shared" si="10"/>
        <v>0.33749866638216153</v>
      </c>
      <c r="M155" s="14">
        <v>0</v>
      </c>
      <c r="N155" s="13"/>
      <c r="O155" s="9"/>
    </row>
    <row r="156" spans="1:15" ht="60" x14ac:dyDescent="0.25">
      <c r="A156" s="15" t="s">
        <v>486</v>
      </c>
      <c r="B156" s="16">
        <v>1048847403</v>
      </c>
      <c r="C156" s="16">
        <v>6</v>
      </c>
      <c r="D156" s="9" t="s">
        <v>543</v>
      </c>
      <c r="E156" s="16" t="s">
        <v>408</v>
      </c>
      <c r="F156" s="17">
        <v>45757</v>
      </c>
      <c r="G156" s="17">
        <v>46022</v>
      </c>
      <c r="H156" s="18">
        <v>58246500</v>
      </c>
      <c r="I156" s="18">
        <v>6695000</v>
      </c>
      <c r="J156" s="5">
        <f>3570666+I156+I156</f>
        <v>16960666</v>
      </c>
      <c r="K156" s="6">
        <f t="shared" si="9"/>
        <v>41285834</v>
      </c>
      <c r="L156" s="1">
        <f t="shared" si="10"/>
        <v>0.29118772801799253</v>
      </c>
      <c r="M156" s="14">
        <v>0</v>
      </c>
      <c r="N156" s="13"/>
      <c r="O156" s="9"/>
    </row>
    <row r="157" spans="1:15" ht="105" x14ac:dyDescent="0.25">
      <c r="A157" s="15" t="s">
        <v>487</v>
      </c>
      <c r="B157" s="16">
        <v>1030574578</v>
      </c>
      <c r="C157" s="16">
        <v>8</v>
      </c>
      <c r="D157" s="9" t="s">
        <v>544</v>
      </c>
      <c r="E157" s="16" t="s">
        <v>409</v>
      </c>
      <c r="F157" s="17">
        <v>45758</v>
      </c>
      <c r="G157" s="17">
        <v>46022</v>
      </c>
      <c r="H157" s="18">
        <v>49096667</v>
      </c>
      <c r="I157" s="18">
        <v>5665000</v>
      </c>
      <c r="J157" s="5">
        <f>3776667+I157+I157</f>
        <v>15106667</v>
      </c>
      <c r="K157" s="6">
        <f t="shared" si="9"/>
        <v>33990000</v>
      </c>
      <c r="L157" s="1">
        <f t="shared" si="10"/>
        <v>0.30769231239261108</v>
      </c>
      <c r="M157" s="14">
        <v>0</v>
      </c>
      <c r="N157" s="13"/>
      <c r="O157" s="9"/>
    </row>
    <row r="158" spans="1:15" ht="75" x14ac:dyDescent="0.25">
      <c r="A158" s="15" t="s">
        <v>488</v>
      </c>
      <c r="B158" s="16">
        <v>1100961438</v>
      </c>
      <c r="C158" s="16">
        <v>9</v>
      </c>
      <c r="D158" s="9" t="s">
        <v>545</v>
      </c>
      <c r="E158" s="16" t="s">
        <v>410</v>
      </c>
      <c r="F158" s="17">
        <v>45761</v>
      </c>
      <c r="G158" s="17">
        <v>46022</v>
      </c>
      <c r="H158" s="18">
        <v>58246500</v>
      </c>
      <c r="I158" s="18">
        <v>6695000</v>
      </c>
      <c r="J158" s="5">
        <f>3793833+I158+I158</f>
        <v>17183833</v>
      </c>
      <c r="K158" s="6">
        <f t="shared" si="9"/>
        <v>41062667</v>
      </c>
      <c r="L158" s="1">
        <f t="shared" si="10"/>
        <v>0.29501915136531809</v>
      </c>
      <c r="M158" s="14">
        <v>0</v>
      </c>
      <c r="N158" s="13"/>
      <c r="O158" s="9"/>
    </row>
    <row r="159" spans="1:15" ht="105" x14ac:dyDescent="0.25">
      <c r="A159" s="15" t="s">
        <v>489</v>
      </c>
      <c r="B159" s="16">
        <v>63514972</v>
      </c>
      <c r="C159" s="16" t="s">
        <v>526</v>
      </c>
      <c r="D159" s="9" t="s">
        <v>546</v>
      </c>
      <c r="E159" s="16" t="s">
        <v>411</v>
      </c>
      <c r="F159" s="17" t="s">
        <v>526</v>
      </c>
      <c r="G159" s="17">
        <v>45999</v>
      </c>
      <c r="H159" s="18">
        <v>62486667</v>
      </c>
      <c r="I159" s="18">
        <v>7210000</v>
      </c>
      <c r="J159" s="5"/>
      <c r="K159" s="6">
        <f t="shared" ref="K159:K190" si="11">H159-J159</f>
        <v>62486667</v>
      </c>
      <c r="L159" s="1">
        <f t="shared" si="10"/>
        <v>0</v>
      </c>
      <c r="M159" s="14">
        <v>0</v>
      </c>
      <c r="N159" s="13"/>
      <c r="O159" s="9"/>
    </row>
    <row r="160" spans="1:15" ht="60" x14ac:dyDescent="0.25">
      <c r="A160" s="15" t="s">
        <v>490</v>
      </c>
      <c r="B160" s="16">
        <v>39526262</v>
      </c>
      <c r="C160" s="16">
        <v>3</v>
      </c>
      <c r="D160" s="9" t="s">
        <v>547</v>
      </c>
      <c r="E160" s="16" t="s">
        <v>412</v>
      </c>
      <c r="F160" s="17">
        <v>45761</v>
      </c>
      <c r="G160" s="17">
        <v>46022</v>
      </c>
      <c r="H160" s="18">
        <v>62486666</v>
      </c>
      <c r="I160" s="18">
        <v>7210000</v>
      </c>
      <c r="J160" s="5">
        <f>4085666+I160+I160</f>
        <v>18505666</v>
      </c>
      <c r="K160" s="6">
        <f t="shared" si="11"/>
        <v>43981000</v>
      </c>
      <c r="L160" s="1">
        <f t="shared" si="10"/>
        <v>0.2961538386445518</v>
      </c>
      <c r="M160" s="14">
        <v>0</v>
      </c>
      <c r="N160" s="13"/>
      <c r="O160" s="9"/>
    </row>
    <row r="161" spans="1:15" ht="30" x14ac:dyDescent="0.25">
      <c r="A161" s="15" t="s">
        <v>491</v>
      </c>
      <c r="B161" s="16">
        <v>800153993</v>
      </c>
      <c r="C161" s="16">
        <v>4</v>
      </c>
      <c r="D161" s="9" t="s">
        <v>548</v>
      </c>
      <c r="E161" s="16" t="s">
        <v>413</v>
      </c>
      <c r="F161" s="17">
        <v>45753</v>
      </c>
      <c r="G161" s="17">
        <v>46006</v>
      </c>
      <c r="H161" s="18">
        <v>67931150</v>
      </c>
      <c r="I161" s="18">
        <v>67931150</v>
      </c>
      <c r="J161" s="5"/>
      <c r="K161" s="6">
        <f t="shared" si="11"/>
        <v>67931150</v>
      </c>
      <c r="L161" s="1">
        <f t="shared" si="10"/>
        <v>0</v>
      </c>
      <c r="M161" s="14">
        <v>0</v>
      </c>
      <c r="N161" s="13"/>
      <c r="O161" s="9"/>
    </row>
    <row r="162" spans="1:15" ht="60" x14ac:dyDescent="0.25">
      <c r="A162" s="15" t="s">
        <v>492</v>
      </c>
      <c r="B162" s="16">
        <v>16278200</v>
      </c>
      <c r="C162" s="16">
        <v>9</v>
      </c>
      <c r="D162" s="9" t="s">
        <v>549</v>
      </c>
      <c r="E162" s="16" t="s">
        <v>414</v>
      </c>
      <c r="F162" s="17">
        <v>45763</v>
      </c>
      <c r="G162" s="17">
        <v>46022</v>
      </c>
      <c r="H162" s="18">
        <v>66177500</v>
      </c>
      <c r="I162" s="18">
        <v>7725000</v>
      </c>
      <c r="J162" s="5">
        <f>3862500+I162+I162</f>
        <v>19312500</v>
      </c>
      <c r="K162" s="6">
        <f t="shared" si="11"/>
        <v>46865000</v>
      </c>
      <c r="L162" s="1">
        <f t="shared" si="10"/>
        <v>0.29182879377431903</v>
      </c>
      <c r="M162" s="14">
        <v>0</v>
      </c>
      <c r="N162" s="13"/>
      <c r="O162" s="9"/>
    </row>
    <row r="163" spans="1:15" ht="75" x14ac:dyDescent="0.25">
      <c r="A163" s="15" t="s">
        <v>493</v>
      </c>
      <c r="B163" s="16">
        <v>33102170</v>
      </c>
      <c r="C163" s="16">
        <v>2</v>
      </c>
      <c r="D163" s="9" t="s">
        <v>550</v>
      </c>
      <c r="E163" s="16" t="s">
        <v>415</v>
      </c>
      <c r="F163" s="17">
        <v>45761</v>
      </c>
      <c r="G163" s="17">
        <v>46022</v>
      </c>
      <c r="H163" s="18">
        <v>58023333</v>
      </c>
      <c r="I163" s="18">
        <v>6695000</v>
      </c>
      <c r="J163" s="5">
        <f>3793833+I163+I163</f>
        <v>17183833</v>
      </c>
      <c r="K163" s="6">
        <f t="shared" si="11"/>
        <v>40839500</v>
      </c>
      <c r="L163" s="1">
        <f t="shared" si="10"/>
        <v>0.29615384211037998</v>
      </c>
      <c r="M163" s="14">
        <v>0</v>
      </c>
      <c r="N163" s="13"/>
      <c r="O163" s="9"/>
    </row>
    <row r="164" spans="1:15" ht="90" x14ac:dyDescent="0.25">
      <c r="A164" s="15" t="s">
        <v>494</v>
      </c>
      <c r="B164" s="16">
        <v>1045745169</v>
      </c>
      <c r="C164" s="16">
        <v>8</v>
      </c>
      <c r="D164" s="9" t="s">
        <v>551</v>
      </c>
      <c r="E164" s="16" t="s">
        <v>416</v>
      </c>
      <c r="F164" s="17">
        <v>45761</v>
      </c>
      <c r="G164" s="17">
        <v>46022</v>
      </c>
      <c r="H164" s="18">
        <v>53560000</v>
      </c>
      <c r="I164" s="18">
        <v>6180000</v>
      </c>
      <c r="J164" s="5">
        <f>3296000+I164+I164</f>
        <v>15656000</v>
      </c>
      <c r="K164" s="6">
        <f t="shared" si="11"/>
        <v>37904000</v>
      </c>
      <c r="L164" s="1">
        <f t="shared" si="10"/>
        <v>0.29230769230769227</v>
      </c>
      <c r="M164" s="14">
        <v>0</v>
      </c>
      <c r="N164" s="13"/>
      <c r="O164" s="9"/>
    </row>
    <row r="165" spans="1:15" ht="60" x14ac:dyDescent="0.25">
      <c r="A165" s="15" t="s">
        <v>495</v>
      </c>
      <c r="B165" s="16">
        <v>1121332735</v>
      </c>
      <c r="C165" s="16">
        <v>1</v>
      </c>
      <c r="D165" s="9" t="s">
        <v>552</v>
      </c>
      <c r="E165" s="16" t="s">
        <v>417</v>
      </c>
      <c r="F165" s="17">
        <v>45761</v>
      </c>
      <c r="G165" s="17">
        <v>46022</v>
      </c>
      <c r="H165" s="18">
        <v>22248000</v>
      </c>
      <c r="I165" s="18">
        <v>3708000</v>
      </c>
      <c r="J165" s="5">
        <f>2101200+I165+I165</f>
        <v>9517200</v>
      </c>
      <c r="K165" s="6">
        <f t="shared" si="11"/>
        <v>12730800</v>
      </c>
      <c r="L165" s="1">
        <f t="shared" si="10"/>
        <v>0.42777777777777781</v>
      </c>
      <c r="M165" s="14">
        <v>0</v>
      </c>
      <c r="N165" s="13"/>
      <c r="O165" s="9"/>
    </row>
    <row r="166" spans="1:15" ht="30" x14ac:dyDescent="0.25">
      <c r="A166" s="15" t="s">
        <v>496</v>
      </c>
      <c r="B166" s="16">
        <v>830075303</v>
      </c>
      <c r="C166" s="16">
        <v>1</v>
      </c>
      <c r="D166" s="9" t="s">
        <v>553</v>
      </c>
      <c r="E166" s="16" t="s">
        <v>418</v>
      </c>
      <c r="F166" s="17">
        <v>45768</v>
      </c>
      <c r="G166" s="17">
        <v>45858</v>
      </c>
      <c r="H166" s="18">
        <v>276606913</v>
      </c>
      <c r="I166" s="18">
        <v>276606913</v>
      </c>
      <c r="J166" s="5">
        <f>276606913</f>
        <v>276606913</v>
      </c>
      <c r="K166" s="6">
        <f t="shared" si="11"/>
        <v>0</v>
      </c>
      <c r="L166" s="1">
        <f t="shared" si="10"/>
        <v>1</v>
      </c>
      <c r="M166" s="14">
        <v>0</v>
      </c>
      <c r="N166" s="13"/>
      <c r="O166" s="9"/>
    </row>
    <row r="167" spans="1:15" ht="60" x14ac:dyDescent="0.25">
      <c r="A167" s="15" t="s">
        <v>497</v>
      </c>
      <c r="B167" s="16">
        <v>65717836</v>
      </c>
      <c r="C167" s="16">
        <v>5</v>
      </c>
      <c r="D167" s="9" t="s">
        <v>554</v>
      </c>
      <c r="E167" s="16" t="s">
        <v>419</v>
      </c>
      <c r="F167" s="17">
        <v>45769</v>
      </c>
      <c r="G167" s="17">
        <v>46022</v>
      </c>
      <c r="H167" s="18">
        <v>51294000</v>
      </c>
      <c r="I167" s="18">
        <v>6180000</v>
      </c>
      <c r="J167" s="5">
        <f>1854000+I167</f>
        <v>8034000</v>
      </c>
      <c r="K167" s="6">
        <f t="shared" si="11"/>
        <v>43260000</v>
      </c>
      <c r="L167" s="1">
        <f t="shared" si="10"/>
        <v>0.15662650602409633</v>
      </c>
      <c r="M167" s="14">
        <v>0</v>
      </c>
      <c r="N167" s="13"/>
      <c r="O167" s="9"/>
    </row>
    <row r="168" spans="1:15" ht="45" x14ac:dyDescent="0.25">
      <c r="A168" s="15" t="s">
        <v>498</v>
      </c>
      <c r="B168" s="16">
        <v>901677435</v>
      </c>
      <c r="C168" s="16"/>
      <c r="D168" s="9" t="s">
        <v>555</v>
      </c>
      <c r="E168" s="16" t="s">
        <v>420</v>
      </c>
      <c r="F168" s="17">
        <v>45758</v>
      </c>
      <c r="G168" s="17">
        <v>46011</v>
      </c>
      <c r="H168" s="18">
        <v>351735305</v>
      </c>
      <c r="I168" s="18">
        <v>351735305</v>
      </c>
      <c r="J168" s="5">
        <f>43966913+43866198.5</f>
        <v>87833111.5</v>
      </c>
      <c r="K168" s="6">
        <f t="shared" si="11"/>
        <v>263902193.5</v>
      </c>
      <c r="L168" s="1">
        <f t="shared" si="10"/>
        <v>0.24971366323320887</v>
      </c>
      <c r="M168" s="14">
        <v>0</v>
      </c>
      <c r="N168" s="13"/>
      <c r="O168" s="9"/>
    </row>
    <row r="169" spans="1:15" ht="60" x14ac:dyDescent="0.25">
      <c r="A169" s="15" t="s">
        <v>499</v>
      </c>
      <c r="B169" s="16">
        <v>901035950</v>
      </c>
      <c r="C169" s="16"/>
      <c r="D169" s="9" t="s">
        <v>556</v>
      </c>
      <c r="E169" s="16" t="s">
        <v>421</v>
      </c>
      <c r="F169" s="17"/>
      <c r="G169" s="17">
        <v>46022</v>
      </c>
      <c r="H169" s="18">
        <v>1500000</v>
      </c>
      <c r="I169" s="18"/>
      <c r="J169" s="5">
        <v>1500000</v>
      </c>
      <c r="K169" s="6">
        <f t="shared" si="11"/>
        <v>0</v>
      </c>
      <c r="L169" s="1">
        <f t="shared" si="10"/>
        <v>1</v>
      </c>
      <c r="M169" s="14">
        <v>0</v>
      </c>
      <c r="N169" s="13"/>
      <c r="O169" s="9"/>
    </row>
    <row r="170" spans="1:15" ht="60" x14ac:dyDescent="0.25">
      <c r="A170" s="15" t="s">
        <v>500</v>
      </c>
      <c r="B170" s="16">
        <v>1000852262</v>
      </c>
      <c r="C170" s="16">
        <v>1</v>
      </c>
      <c r="D170" s="9" t="s">
        <v>557</v>
      </c>
      <c r="E170" s="16" t="s">
        <v>422</v>
      </c>
      <c r="F170" s="17"/>
      <c r="G170" s="17">
        <v>46022</v>
      </c>
      <c r="H170" s="18">
        <v>36846602</v>
      </c>
      <c r="I170" s="18"/>
      <c r="J170" s="5">
        <v>11111000</v>
      </c>
      <c r="K170" s="6">
        <f t="shared" si="11"/>
        <v>25735602</v>
      </c>
      <c r="L170" s="1">
        <f t="shared" si="10"/>
        <v>0.30154748055193803</v>
      </c>
      <c r="M170" s="14">
        <v>0</v>
      </c>
      <c r="N170" s="13"/>
      <c r="O170" s="9"/>
    </row>
    <row r="171" spans="1:15" ht="30" x14ac:dyDescent="0.25">
      <c r="A171" s="15" t="s">
        <v>501</v>
      </c>
      <c r="B171" s="16"/>
      <c r="C171" s="16"/>
      <c r="D171" s="9" t="s">
        <v>558</v>
      </c>
      <c r="E171" s="16" t="s">
        <v>423</v>
      </c>
      <c r="F171" s="17"/>
      <c r="G171" s="17">
        <v>46022</v>
      </c>
      <c r="H171" s="18">
        <v>46961487</v>
      </c>
      <c r="I171" s="18"/>
      <c r="J171" s="5">
        <f>8882536.91+740606.71+6006344.45</f>
        <v>15629488.07</v>
      </c>
      <c r="K171" s="6">
        <f t="shared" si="11"/>
        <v>31331998.93</v>
      </c>
      <c r="L171" s="1">
        <f t="shared" si="10"/>
        <v>0.33281501648361345</v>
      </c>
      <c r="M171" s="14">
        <v>0</v>
      </c>
      <c r="N171" s="13"/>
      <c r="O171" s="9"/>
    </row>
    <row r="172" spans="1:15" ht="60" x14ac:dyDescent="0.25">
      <c r="A172" s="15" t="s">
        <v>502</v>
      </c>
      <c r="B172" s="16">
        <v>35529449</v>
      </c>
      <c r="C172" s="16">
        <v>2</v>
      </c>
      <c r="D172" s="9" t="s">
        <v>559</v>
      </c>
      <c r="E172" s="16" t="s">
        <v>424</v>
      </c>
      <c r="F172" s="17">
        <v>45763</v>
      </c>
      <c r="G172" s="17">
        <v>46022</v>
      </c>
      <c r="H172" s="18">
        <v>74417500</v>
      </c>
      <c r="I172" s="18">
        <v>8755000</v>
      </c>
      <c r="J172" s="5">
        <f>4377500+I172+I172</f>
        <v>21887500</v>
      </c>
      <c r="K172" s="6">
        <f t="shared" si="11"/>
        <v>52530000</v>
      </c>
      <c r="L172" s="1">
        <f t="shared" si="10"/>
        <v>0.29411764705882348</v>
      </c>
      <c r="M172" s="14">
        <v>0</v>
      </c>
      <c r="N172" s="13"/>
      <c r="O172" s="9"/>
    </row>
    <row r="173" spans="1:15" ht="45" x14ac:dyDescent="0.25">
      <c r="A173" s="15" t="s">
        <v>503</v>
      </c>
      <c r="B173" s="16">
        <v>79737490</v>
      </c>
      <c r="C173" s="16">
        <v>7</v>
      </c>
      <c r="D173" s="9" t="s">
        <v>560</v>
      </c>
      <c r="E173" s="16" t="s">
        <v>425</v>
      </c>
      <c r="F173" s="17">
        <v>45763</v>
      </c>
      <c r="G173" s="17">
        <v>46022</v>
      </c>
      <c r="H173" s="18">
        <v>52530000</v>
      </c>
      <c r="I173" s="18">
        <v>6180000</v>
      </c>
      <c r="J173" s="5">
        <f>3090000+I173+I173</f>
        <v>15450000</v>
      </c>
      <c r="K173" s="6">
        <f t="shared" si="11"/>
        <v>37080000</v>
      </c>
      <c r="L173" s="1">
        <f t="shared" si="10"/>
        <v>0.29411764705882348</v>
      </c>
      <c r="M173" s="14">
        <v>0</v>
      </c>
      <c r="N173" s="13"/>
      <c r="O173" s="9"/>
    </row>
    <row r="174" spans="1:15" ht="60" x14ac:dyDescent="0.25">
      <c r="A174" s="15" t="s">
        <v>504</v>
      </c>
      <c r="B174" s="16">
        <v>6775116</v>
      </c>
      <c r="C174" s="16">
        <v>3</v>
      </c>
      <c r="D174" s="9" t="s">
        <v>561</v>
      </c>
      <c r="E174" s="16" t="s">
        <v>426</v>
      </c>
      <c r="F174" s="17">
        <v>45768</v>
      </c>
      <c r="G174" s="17">
        <v>46022</v>
      </c>
      <c r="H174" s="18">
        <v>68666667</v>
      </c>
      <c r="I174" s="18">
        <v>8477366.3000000007</v>
      </c>
      <c r="J174" s="5">
        <f>2746667+I174+I174</f>
        <v>19701399.600000001</v>
      </c>
      <c r="K174" s="6">
        <f t="shared" si="11"/>
        <v>48965267.399999999</v>
      </c>
      <c r="L174" s="1">
        <f t="shared" si="10"/>
        <v>0.28691358501498265</v>
      </c>
      <c r="M174" s="14">
        <v>0</v>
      </c>
      <c r="N174" s="13"/>
      <c r="O174" s="9"/>
    </row>
    <row r="175" spans="1:15" ht="60" x14ac:dyDescent="0.25">
      <c r="A175" s="15" t="s">
        <v>505</v>
      </c>
      <c r="B175" s="16">
        <v>1087753489</v>
      </c>
      <c r="C175" s="16">
        <v>6</v>
      </c>
      <c r="D175" s="9" t="s">
        <v>562</v>
      </c>
      <c r="E175" s="16" t="s">
        <v>427</v>
      </c>
      <c r="F175" s="17">
        <v>45769</v>
      </c>
      <c r="G175" s="17">
        <v>46022</v>
      </c>
      <c r="H175" s="18">
        <v>27390000</v>
      </c>
      <c r="I175" s="18">
        <v>3300000</v>
      </c>
      <c r="J175" s="5">
        <f>990000+I175+I175</f>
        <v>7590000</v>
      </c>
      <c r="K175" s="6">
        <f t="shared" si="11"/>
        <v>19800000</v>
      </c>
      <c r="L175" s="1">
        <f t="shared" si="10"/>
        <v>0.27710843373493976</v>
      </c>
      <c r="M175" s="14">
        <v>0</v>
      </c>
      <c r="N175" s="13"/>
      <c r="O175" s="9"/>
    </row>
    <row r="176" spans="1:15" ht="60" x14ac:dyDescent="0.25">
      <c r="A176" s="15" t="s">
        <v>506</v>
      </c>
      <c r="B176" s="16">
        <v>79987795</v>
      </c>
      <c r="C176" s="16">
        <v>1</v>
      </c>
      <c r="D176" s="9" t="s">
        <v>563</v>
      </c>
      <c r="E176" s="16" t="s">
        <v>428</v>
      </c>
      <c r="F176" s="17">
        <v>45763</v>
      </c>
      <c r="G176" s="17">
        <v>45823</v>
      </c>
      <c r="H176" s="18">
        <v>15450000</v>
      </c>
      <c r="I176" s="18">
        <v>7725000</v>
      </c>
      <c r="J176" s="5">
        <f>3862500+I176</f>
        <v>11587500</v>
      </c>
      <c r="K176" s="6">
        <f t="shared" si="11"/>
        <v>3862500</v>
      </c>
      <c r="L176" s="1">
        <f t="shared" si="10"/>
        <v>0.75</v>
      </c>
      <c r="M176" s="14">
        <v>0</v>
      </c>
      <c r="N176" s="13"/>
      <c r="O176" s="9"/>
    </row>
    <row r="177" spans="1:15" ht="75" x14ac:dyDescent="0.25">
      <c r="A177" s="15" t="s">
        <v>507</v>
      </c>
      <c r="B177" s="16">
        <v>1053807326</v>
      </c>
      <c r="C177" s="16">
        <v>4</v>
      </c>
      <c r="D177" s="9" t="s">
        <v>564</v>
      </c>
      <c r="E177" s="16" t="s">
        <v>429</v>
      </c>
      <c r="F177" s="17">
        <v>45763</v>
      </c>
      <c r="G177" s="17">
        <v>46022</v>
      </c>
      <c r="H177" s="18">
        <v>61285000</v>
      </c>
      <c r="I177" s="18">
        <v>7210000</v>
      </c>
      <c r="J177" s="5">
        <f>3605000+3364667</f>
        <v>6969667</v>
      </c>
      <c r="K177" s="6">
        <f t="shared" si="11"/>
        <v>54315333</v>
      </c>
      <c r="L177" s="1">
        <f t="shared" si="10"/>
        <v>0.11372549563514722</v>
      </c>
      <c r="M177" s="14">
        <v>0</v>
      </c>
      <c r="N177" s="13"/>
      <c r="O177" s="9"/>
    </row>
    <row r="178" spans="1:15" ht="90" x14ac:dyDescent="0.25">
      <c r="A178" s="15" t="s">
        <v>508</v>
      </c>
      <c r="B178" s="16">
        <v>52265179</v>
      </c>
      <c r="C178" s="16">
        <v>6</v>
      </c>
      <c r="D178" s="9" t="s">
        <v>565</v>
      </c>
      <c r="E178" s="16" t="s">
        <v>430</v>
      </c>
      <c r="F178" s="17">
        <v>45763</v>
      </c>
      <c r="G178" s="17">
        <v>46022</v>
      </c>
      <c r="H178" s="18">
        <v>79670500</v>
      </c>
      <c r="I178" s="18">
        <v>9373000</v>
      </c>
      <c r="J178" s="5">
        <f>4686500+9373000+I178</f>
        <v>23432500</v>
      </c>
      <c r="K178" s="6">
        <f t="shared" si="11"/>
        <v>56238000</v>
      </c>
      <c r="L178" s="1">
        <f t="shared" si="10"/>
        <v>0.29411764705882348</v>
      </c>
      <c r="M178" s="14">
        <v>0</v>
      </c>
      <c r="N178" s="13"/>
      <c r="O178" s="9"/>
    </row>
    <row r="179" spans="1:15" ht="105" x14ac:dyDescent="0.25">
      <c r="A179" s="15" t="s">
        <v>509</v>
      </c>
      <c r="B179" s="16">
        <v>1026285734</v>
      </c>
      <c r="C179" s="16">
        <v>6</v>
      </c>
      <c r="D179" s="9" t="s">
        <v>566</v>
      </c>
      <c r="E179" s="16" t="s">
        <v>431</v>
      </c>
      <c r="F179" s="17">
        <v>45769</v>
      </c>
      <c r="G179" s="17">
        <v>46022</v>
      </c>
      <c r="H179" s="18">
        <v>60083333</v>
      </c>
      <c r="I179" s="18">
        <v>7210000</v>
      </c>
      <c r="J179" s="5">
        <f>2163000+I179+I179</f>
        <v>16583000</v>
      </c>
      <c r="K179" s="6">
        <f t="shared" si="11"/>
        <v>43500333</v>
      </c>
      <c r="L179" s="1">
        <f t="shared" si="10"/>
        <v>0.27600000153120663</v>
      </c>
      <c r="M179" s="14">
        <v>0</v>
      </c>
      <c r="N179" s="13"/>
      <c r="O179" s="9"/>
    </row>
    <row r="180" spans="1:15" ht="90" x14ac:dyDescent="0.25">
      <c r="A180" s="15" t="s">
        <v>510</v>
      </c>
      <c r="B180" s="16">
        <v>91527821</v>
      </c>
      <c r="C180" s="16">
        <v>4</v>
      </c>
      <c r="D180" s="9" t="s">
        <v>567</v>
      </c>
      <c r="E180" s="16" t="s">
        <v>432</v>
      </c>
      <c r="F180" s="17">
        <v>45769</v>
      </c>
      <c r="G180" s="17">
        <v>46022</v>
      </c>
      <c r="H180" s="18">
        <v>42916667</v>
      </c>
      <c r="I180" s="18">
        <v>5150000</v>
      </c>
      <c r="J180" s="5">
        <f>1545000+I180+I180</f>
        <v>11845000</v>
      </c>
      <c r="K180" s="6">
        <f t="shared" si="11"/>
        <v>31071667</v>
      </c>
      <c r="L180" s="1">
        <f t="shared" si="10"/>
        <v>0.27599999785631069</v>
      </c>
      <c r="M180" s="14">
        <v>0</v>
      </c>
      <c r="N180" s="13"/>
      <c r="O180" s="9"/>
    </row>
    <row r="181" spans="1:15" ht="60" x14ac:dyDescent="0.25">
      <c r="A181" s="15" t="s">
        <v>511</v>
      </c>
      <c r="B181" s="16">
        <v>1013688295</v>
      </c>
      <c r="C181" s="16">
        <v>7</v>
      </c>
      <c r="D181" s="9" t="s">
        <v>568</v>
      </c>
      <c r="E181" s="16" t="s">
        <v>433</v>
      </c>
      <c r="F181" s="17">
        <v>45763</v>
      </c>
      <c r="G181" s="17">
        <v>46022</v>
      </c>
      <c r="H181" s="18">
        <v>28050000</v>
      </c>
      <c r="I181" s="18">
        <v>3300000</v>
      </c>
      <c r="J181" s="5">
        <f>1650000+3300000+I181</f>
        <v>8250000</v>
      </c>
      <c r="K181" s="6">
        <f t="shared" si="11"/>
        <v>19800000</v>
      </c>
      <c r="L181" s="1">
        <f t="shared" si="10"/>
        <v>0.29411764705882348</v>
      </c>
      <c r="M181" s="14">
        <v>0</v>
      </c>
      <c r="N181" s="13"/>
      <c r="O181" s="9"/>
    </row>
    <row r="182" spans="1:15" ht="135" x14ac:dyDescent="0.25">
      <c r="A182" s="15" t="s">
        <v>6</v>
      </c>
      <c r="B182" s="16">
        <v>52219533</v>
      </c>
      <c r="C182" s="16">
        <v>5</v>
      </c>
      <c r="D182" s="9" t="s">
        <v>569</v>
      </c>
      <c r="E182" s="16" t="s">
        <v>434</v>
      </c>
      <c r="F182" s="17">
        <v>45768</v>
      </c>
      <c r="G182" s="17">
        <v>46022</v>
      </c>
      <c r="H182" s="18">
        <v>78108333</v>
      </c>
      <c r="I182" s="18">
        <v>9373000</v>
      </c>
      <c r="J182" s="5">
        <f>3124333+I182+I182+I182</f>
        <v>31243333</v>
      </c>
      <c r="K182" s="6">
        <f t="shared" si="11"/>
        <v>46865000</v>
      </c>
      <c r="L182" s="1">
        <f t="shared" si="10"/>
        <v>0.39999999743945369</v>
      </c>
      <c r="M182" s="14">
        <v>0</v>
      </c>
      <c r="N182" s="13"/>
      <c r="O182" s="9"/>
    </row>
    <row r="183" spans="1:15" ht="60" x14ac:dyDescent="0.25">
      <c r="A183" s="15" t="s">
        <v>512</v>
      </c>
      <c r="B183" s="16">
        <v>1014289693</v>
      </c>
      <c r="C183" s="16">
        <v>7</v>
      </c>
      <c r="D183" s="9" t="s">
        <v>570</v>
      </c>
      <c r="E183" s="16" t="s">
        <v>435</v>
      </c>
      <c r="F183" s="17">
        <v>45769</v>
      </c>
      <c r="G183" s="17">
        <v>45859</v>
      </c>
      <c r="H183" s="18">
        <v>18540000</v>
      </c>
      <c r="I183" s="18">
        <v>6180000</v>
      </c>
      <c r="J183" s="5">
        <f>1854000+I183+I183</f>
        <v>14214000</v>
      </c>
      <c r="K183" s="6">
        <f t="shared" si="11"/>
        <v>4326000</v>
      </c>
      <c r="L183" s="1">
        <f t="shared" si="10"/>
        <v>0.76666666666666661</v>
      </c>
      <c r="M183" s="14">
        <v>0</v>
      </c>
      <c r="N183" s="13"/>
      <c r="O183" s="9"/>
    </row>
    <row r="184" spans="1:15" ht="75" x14ac:dyDescent="0.25">
      <c r="A184" s="15" t="s">
        <v>513</v>
      </c>
      <c r="B184" s="16">
        <v>80350391</v>
      </c>
      <c r="C184" s="16">
        <v>7</v>
      </c>
      <c r="D184" s="9" t="s">
        <v>571</v>
      </c>
      <c r="E184" s="16" t="s">
        <v>436</v>
      </c>
      <c r="F184" s="17">
        <v>45769</v>
      </c>
      <c r="G184" s="17">
        <v>46022</v>
      </c>
      <c r="H184" s="18">
        <v>38625000</v>
      </c>
      <c r="I184" s="18">
        <v>4635000</v>
      </c>
      <c r="J184" s="5">
        <f>1390500+I184+I184</f>
        <v>10660500</v>
      </c>
      <c r="K184" s="6">
        <f t="shared" si="11"/>
        <v>27964500</v>
      </c>
      <c r="L184" s="1">
        <f t="shared" si="10"/>
        <v>0.27600000000000002</v>
      </c>
      <c r="M184" s="14">
        <v>0</v>
      </c>
      <c r="N184" s="13"/>
      <c r="O184" s="9"/>
    </row>
    <row r="185" spans="1:15" ht="75" x14ac:dyDescent="0.25">
      <c r="A185" s="15" t="s">
        <v>514</v>
      </c>
      <c r="B185" s="16">
        <v>1000718758</v>
      </c>
      <c r="C185" s="16">
        <v>8</v>
      </c>
      <c r="D185" s="9" t="s">
        <v>572</v>
      </c>
      <c r="E185" s="16" t="s">
        <v>437</v>
      </c>
      <c r="F185" s="17">
        <v>45770</v>
      </c>
      <c r="G185" s="17">
        <v>46022</v>
      </c>
      <c r="H185" s="18">
        <v>27280000</v>
      </c>
      <c r="I185" s="18">
        <v>3300000</v>
      </c>
      <c r="J185" s="5">
        <f>880000+I185+I185</f>
        <v>7480000</v>
      </c>
      <c r="K185" s="6">
        <f t="shared" si="11"/>
        <v>19800000</v>
      </c>
      <c r="L185" s="1">
        <f t="shared" si="10"/>
        <v>0.27419354838709675</v>
      </c>
      <c r="M185" s="14">
        <v>0</v>
      </c>
      <c r="N185" s="13"/>
      <c r="O185" s="9"/>
    </row>
    <row r="186" spans="1:15" ht="90" x14ac:dyDescent="0.25">
      <c r="A186" s="15" t="s">
        <v>515</v>
      </c>
      <c r="B186" s="16">
        <v>11321559</v>
      </c>
      <c r="C186" s="16">
        <v>2</v>
      </c>
      <c r="D186" s="9" t="s">
        <v>573</v>
      </c>
      <c r="E186" s="16" t="s">
        <v>438</v>
      </c>
      <c r="F186" s="17">
        <v>45771</v>
      </c>
      <c r="G186" s="17">
        <v>46022</v>
      </c>
      <c r="H186" s="18">
        <v>72374666</v>
      </c>
      <c r="I186" s="18">
        <v>8755000</v>
      </c>
      <c r="J186" s="5">
        <f>2334666+I186+I186</f>
        <v>19844666</v>
      </c>
      <c r="K186" s="6">
        <f t="shared" si="11"/>
        <v>52530000</v>
      </c>
      <c r="L186" s="1">
        <f t="shared" si="10"/>
        <v>0.27419354170145671</v>
      </c>
      <c r="M186" s="14">
        <v>0</v>
      </c>
      <c r="N186" s="13"/>
      <c r="O186" s="9"/>
    </row>
    <row r="187" spans="1:15" ht="60" x14ac:dyDescent="0.25">
      <c r="A187" s="15" t="s">
        <v>516</v>
      </c>
      <c r="B187" s="16">
        <v>1140825126</v>
      </c>
      <c r="C187" s="16">
        <v>1</v>
      </c>
      <c r="D187" s="9" t="s">
        <v>574</v>
      </c>
      <c r="E187" s="16" t="s">
        <v>439</v>
      </c>
      <c r="F187" s="17">
        <v>45771</v>
      </c>
      <c r="G187" s="17">
        <v>46022</v>
      </c>
      <c r="H187" s="18">
        <v>51294000</v>
      </c>
      <c r="I187" s="18">
        <v>6180000</v>
      </c>
      <c r="J187" s="5">
        <f>1442000+I187+I187</f>
        <v>13802000</v>
      </c>
      <c r="K187" s="6">
        <f t="shared" si="11"/>
        <v>37492000</v>
      </c>
      <c r="L187" s="1">
        <f t="shared" si="10"/>
        <v>0.26907630522088355</v>
      </c>
      <c r="M187" s="14">
        <v>0</v>
      </c>
      <c r="N187" s="13"/>
      <c r="O187" s="9"/>
    </row>
    <row r="188" spans="1:15" ht="60" x14ac:dyDescent="0.25">
      <c r="A188" s="15" t="s">
        <v>517</v>
      </c>
      <c r="B188" s="16">
        <v>1085321752</v>
      </c>
      <c r="C188" s="16">
        <v>8</v>
      </c>
      <c r="D188" s="9" t="s">
        <v>575</v>
      </c>
      <c r="E188" s="16" t="s">
        <v>440</v>
      </c>
      <c r="F188" s="17">
        <v>45772</v>
      </c>
      <c r="G188" s="17">
        <v>46022</v>
      </c>
      <c r="H188" s="18">
        <v>55122167</v>
      </c>
      <c r="I188" s="18">
        <v>6695000</v>
      </c>
      <c r="J188" s="5">
        <f>I188+I188+1339000</f>
        <v>14729000</v>
      </c>
      <c r="K188" s="6">
        <f t="shared" si="11"/>
        <v>40393167</v>
      </c>
      <c r="L188" s="1">
        <f t="shared" si="10"/>
        <v>0.26720647611694948</v>
      </c>
      <c r="M188" s="14">
        <v>0</v>
      </c>
      <c r="N188" s="13"/>
      <c r="O188" s="9"/>
    </row>
    <row r="189" spans="1:15" ht="60" x14ac:dyDescent="0.25">
      <c r="A189" s="15" t="s">
        <v>518</v>
      </c>
      <c r="B189" s="16">
        <v>94397996</v>
      </c>
      <c r="C189" s="16" t="s">
        <v>526</v>
      </c>
      <c r="D189" s="9" t="s">
        <v>576</v>
      </c>
      <c r="E189" s="16" t="s">
        <v>441</v>
      </c>
      <c r="F189" s="17"/>
      <c r="G189" s="17">
        <v>45893</v>
      </c>
      <c r="H189" s="18">
        <v>45320000</v>
      </c>
      <c r="I189" s="18">
        <v>11330000</v>
      </c>
      <c r="J189" s="5">
        <f>2266000+I189+I189</f>
        <v>24926000</v>
      </c>
      <c r="K189" s="6">
        <f t="shared" si="11"/>
        <v>20394000</v>
      </c>
      <c r="L189" s="1">
        <f t="shared" si="10"/>
        <v>0.55000000000000004</v>
      </c>
      <c r="M189" s="14">
        <v>0</v>
      </c>
      <c r="N189" s="13"/>
      <c r="O189" s="9"/>
    </row>
    <row r="190" spans="1:15" ht="75" x14ac:dyDescent="0.25">
      <c r="A190" s="15" t="s">
        <v>519</v>
      </c>
      <c r="B190" s="16">
        <v>1013597999</v>
      </c>
      <c r="C190" s="16">
        <v>2</v>
      </c>
      <c r="D190" s="9" t="s">
        <v>577</v>
      </c>
      <c r="E190" s="16" t="s">
        <v>442</v>
      </c>
      <c r="F190" s="17"/>
      <c r="G190" s="17">
        <v>46014</v>
      </c>
      <c r="H190" s="18">
        <v>32136000</v>
      </c>
      <c r="I190" s="18">
        <v>4017000</v>
      </c>
      <c r="J190" s="5">
        <f>937300+I190</f>
        <v>4954300</v>
      </c>
      <c r="K190" s="6">
        <f t="shared" si="11"/>
        <v>27181700</v>
      </c>
      <c r="L190" s="1">
        <f t="shared" si="10"/>
        <v>0.15416666666666667</v>
      </c>
      <c r="M190" s="14">
        <v>0</v>
      </c>
      <c r="N190" s="13"/>
      <c r="O190" s="9"/>
    </row>
    <row r="191" spans="1:15" ht="60" x14ac:dyDescent="0.25">
      <c r="A191" s="15" t="s">
        <v>520</v>
      </c>
      <c r="B191" s="16">
        <v>1001315186</v>
      </c>
      <c r="C191" s="16">
        <v>3</v>
      </c>
      <c r="D191" s="9" t="s">
        <v>578</v>
      </c>
      <c r="E191" s="16" t="s">
        <v>443</v>
      </c>
      <c r="F191" s="17">
        <v>45772</v>
      </c>
      <c r="G191" s="17">
        <v>46022</v>
      </c>
      <c r="H191" s="18">
        <v>38161500</v>
      </c>
      <c r="I191" s="18">
        <v>4635000</v>
      </c>
      <c r="J191" s="5">
        <f>927000+I191+I191</f>
        <v>10197000</v>
      </c>
      <c r="K191" s="6">
        <f t="shared" ref="K191:K254" si="12">H191-J191</f>
        <v>27964500</v>
      </c>
      <c r="L191" s="1">
        <f t="shared" si="10"/>
        <v>0.26720647773279349</v>
      </c>
      <c r="M191" s="14">
        <v>0</v>
      </c>
      <c r="N191" s="13"/>
      <c r="O191" s="9"/>
    </row>
    <row r="192" spans="1:15" ht="120" x14ac:dyDescent="0.25">
      <c r="A192" s="15" t="s">
        <v>521</v>
      </c>
      <c r="B192" s="16">
        <v>79688495</v>
      </c>
      <c r="C192" s="16">
        <v>2</v>
      </c>
      <c r="D192" s="9" t="s">
        <v>579</v>
      </c>
      <c r="E192" s="16" t="s">
        <v>444</v>
      </c>
      <c r="F192" s="17">
        <v>45775</v>
      </c>
      <c r="G192" s="17">
        <v>46022</v>
      </c>
      <c r="H192" s="18">
        <v>76858600</v>
      </c>
      <c r="I192" s="18">
        <v>9373000</v>
      </c>
      <c r="J192" s="5">
        <f>937300+I192+I192</f>
        <v>19683300</v>
      </c>
      <c r="K192" s="6">
        <f t="shared" si="12"/>
        <v>57175300</v>
      </c>
      <c r="L192" s="1">
        <f t="shared" si="10"/>
        <v>0.25609756097560976</v>
      </c>
      <c r="M192" s="14">
        <v>0</v>
      </c>
      <c r="N192" s="13"/>
      <c r="O192" s="9"/>
    </row>
    <row r="193" spans="1:15" ht="105" x14ac:dyDescent="0.25">
      <c r="A193" s="15" t="s">
        <v>522</v>
      </c>
      <c r="B193" s="16">
        <v>1140864226</v>
      </c>
      <c r="C193" s="16">
        <v>4</v>
      </c>
      <c r="D193" s="9" t="s">
        <v>580</v>
      </c>
      <c r="E193" s="16" t="s">
        <v>445</v>
      </c>
      <c r="F193" s="17">
        <v>45772</v>
      </c>
      <c r="G193" s="17">
        <v>46015</v>
      </c>
      <c r="H193" s="18">
        <v>65920000</v>
      </c>
      <c r="I193" s="18">
        <v>8240000</v>
      </c>
      <c r="J193" s="5">
        <f>1648000+I193</f>
        <v>9888000</v>
      </c>
      <c r="K193" s="6">
        <f t="shared" si="12"/>
        <v>56032000</v>
      </c>
      <c r="L193" s="1">
        <f t="shared" si="10"/>
        <v>0.15000000000000002</v>
      </c>
      <c r="M193" s="14">
        <v>0</v>
      </c>
      <c r="N193" s="13"/>
      <c r="O193" s="9"/>
    </row>
    <row r="194" spans="1:15" ht="60" x14ac:dyDescent="0.25">
      <c r="A194" s="15" t="s">
        <v>127</v>
      </c>
      <c r="B194" s="16">
        <v>1018511897</v>
      </c>
      <c r="C194" s="16">
        <v>9</v>
      </c>
      <c r="D194" s="9" t="s">
        <v>581</v>
      </c>
      <c r="E194" s="16" t="s">
        <v>446</v>
      </c>
      <c r="F194" s="17">
        <v>45775</v>
      </c>
      <c r="G194" s="17">
        <v>46022</v>
      </c>
      <c r="H194" s="18">
        <v>27060000</v>
      </c>
      <c r="I194" s="18">
        <v>3300000</v>
      </c>
      <c r="J194" s="5">
        <f>330000+3300000+I194</f>
        <v>6930000</v>
      </c>
      <c r="K194" s="6">
        <f t="shared" si="12"/>
        <v>20130000</v>
      </c>
      <c r="L194" s="1">
        <f t="shared" ref="L194:L257" si="13">1-(K194/H194)</f>
        <v>0.25609756097560976</v>
      </c>
      <c r="M194" s="14">
        <v>0</v>
      </c>
      <c r="N194" s="13"/>
      <c r="O194" s="9"/>
    </row>
    <row r="195" spans="1:15" ht="75" x14ac:dyDescent="0.25">
      <c r="A195" s="15" t="s">
        <v>523</v>
      </c>
      <c r="B195" s="16">
        <v>36308561</v>
      </c>
      <c r="C195" s="16">
        <v>5</v>
      </c>
      <c r="D195" s="9" t="s">
        <v>582</v>
      </c>
      <c r="E195" s="16" t="s">
        <v>447</v>
      </c>
      <c r="F195" s="17">
        <v>45772</v>
      </c>
      <c r="G195" s="17">
        <v>46022</v>
      </c>
      <c r="H195" s="18">
        <v>46453000</v>
      </c>
      <c r="I195" s="18">
        <v>5665000</v>
      </c>
      <c r="J195" s="5">
        <f>1133000+I195+I195</f>
        <v>12463000</v>
      </c>
      <c r="K195" s="6">
        <f t="shared" si="12"/>
        <v>33990000</v>
      </c>
      <c r="L195" s="1">
        <f t="shared" si="13"/>
        <v>0.26829268292682928</v>
      </c>
      <c r="M195" s="14">
        <v>0</v>
      </c>
      <c r="N195" s="13"/>
      <c r="O195" s="9"/>
    </row>
    <row r="196" spans="1:15" ht="60" x14ac:dyDescent="0.25">
      <c r="A196" s="15" t="s">
        <v>524</v>
      </c>
      <c r="B196" s="16">
        <v>1066176032</v>
      </c>
      <c r="C196" s="16">
        <v>2</v>
      </c>
      <c r="D196" s="9" t="s">
        <v>583</v>
      </c>
      <c r="E196" s="16" t="s">
        <v>448</v>
      </c>
      <c r="F196" s="17">
        <v>45775</v>
      </c>
      <c r="G196" s="17">
        <v>46022</v>
      </c>
      <c r="H196" s="18">
        <v>71791000</v>
      </c>
      <c r="I196" s="18">
        <v>8755000</v>
      </c>
      <c r="J196" s="5">
        <f>875000+I196+I196</f>
        <v>18385000</v>
      </c>
      <c r="K196" s="6">
        <f t="shared" si="12"/>
        <v>53406000</v>
      </c>
      <c r="L196" s="1">
        <f t="shared" si="13"/>
        <v>0.2560905963143012</v>
      </c>
      <c r="M196" s="14">
        <v>0</v>
      </c>
      <c r="N196" s="13"/>
      <c r="O196" s="9"/>
    </row>
    <row r="197" spans="1:15" ht="105" x14ac:dyDescent="0.25">
      <c r="A197" s="15" t="s">
        <v>525</v>
      </c>
      <c r="B197" s="16">
        <v>1037590760</v>
      </c>
      <c r="C197" s="16">
        <v>5</v>
      </c>
      <c r="D197" s="9" t="s">
        <v>584</v>
      </c>
      <c r="E197" s="16" t="s">
        <v>449</v>
      </c>
      <c r="F197" s="17">
        <v>45776</v>
      </c>
      <c r="G197" s="17">
        <v>46022</v>
      </c>
      <c r="H197" s="18">
        <v>54229500</v>
      </c>
      <c r="I197" s="18">
        <v>6695000</v>
      </c>
      <c r="J197" s="5">
        <f>446333+I197+I197</f>
        <v>13836333</v>
      </c>
      <c r="K197" s="6">
        <f t="shared" si="12"/>
        <v>40393167</v>
      </c>
      <c r="L197" s="1">
        <f t="shared" si="13"/>
        <v>0.25514402677509473</v>
      </c>
      <c r="M197" s="14">
        <v>0</v>
      </c>
      <c r="N197" s="13"/>
      <c r="O197" s="9"/>
    </row>
    <row r="198" spans="1:15" ht="120" x14ac:dyDescent="0.25">
      <c r="A198" s="41" t="s">
        <v>665</v>
      </c>
      <c r="B198" s="42">
        <v>1066747791</v>
      </c>
      <c r="C198" s="42">
        <v>5</v>
      </c>
      <c r="D198" s="34" t="s">
        <v>591</v>
      </c>
      <c r="E198" s="42">
        <v>190</v>
      </c>
      <c r="F198" s="28">
        <v>45779</v>
      </c>
      <c r="G198" s="43">
        <v>46022</v>
      </c>
      <c r="H198" s="13">
        <v>50058000</v>
      </c>
      <c r="I198" s="13">
        <v>6180000</v>
      </c>
      <c r="J198" s="5">
        <f>5974000+I198</f>
        <v>12154000</v>
      </c>
      <c r="K198" s="6">
        <f t="shared" si="12"/>
        <v>37904000</v>
      </c>
      <c r="L198" s="1">
        <f t="shared" si="13"/>
        <v>0.24279835390946503</v>
      </c>
      <c r="M198" s="14">
        <v>0</v>
      </c>
      <c r="N198" s="13"/>
      <c r="O198" s="9"/>
    </row>
    <row r="199" spans="1:15" ht="60" x14ac:dyDescent="0.25">
      <c r="A199" s="15" t="s">
        <v>666</v>
      </c>
      <c r="B199" s="16">
        <v>1123733068</v>
      </c>
      <c r="C199" s="16">
        <v>3</v>
      </c>
      <c r="D199" s="9" t="s">
        <v>592</v>
      </c>
      <c r="E199" s="16">
        <v>191</v>
      </c>
      <c r="F199" s="17">
        <v>45782</v>
      </c>
      <c r="G199" s="20">
        <v>46022</v>
      </c>
      <c r="H199" s="21">
        <v>49440000</v>
      </c>
      <c r="I199" s="21">
        <v>6180000</v>
      </c>
      <c r="J199" s="5">
        <f>5356000+I199</f>
        <v>11536000</v>
      </c>
      <c r="K199" s="6">
        <f t="shared" si="12"/>
        <v>37904000</v>
      </c>
      <c r="L199" s="1">
        <f t="shared" si="13"/>
        <v>0.23333333333333328</v>
      </c>
      <c r="M199" s="14">
        <v>0</v>
      </c>
      <c r="N199" s="13"/>
      <c r="O199" s="9"/>
    </row>
    <row r="200" spans="1:15" ht="75" x14ac:dyDescent="0.25">
      <c r="A200" s="41" t="s">
        <v>667</v>
      </c>
      <c r="B200" s="42">
        <v>800211401</v>
      </c>
      <c r="C200" s="42">
        <v>8</v>
      </c>
      <c r="D200" s="34" t="s">
        <v>593</v>
      </c>
      <c r="E200" s="42">
        <v>192</v>
      </c>
      <c r="F200" s="28">
        <v>45779</v>
      </c>
      <c r="G200" s="43">
        <v>46006</v>
      </c>
      <c r="H200" s="13">
        <v>896397456.92999995</v>
      </c>
      <c r="I200" s="13">
        <v>896397456.92999995</v>
      </c>
      <c r="J200" s="5">
        <f>62008846+115474164.47</f>
        <v>177483010.47</v>
      </c>
      <c r="K200" s="6">
        <f>H200-J200</f>
        <v>718914446.45999992</v>
      </c>
      <c r="L200" s="1">
        <f t="shared" si="13"/>
        <v>0.19799588798237722</v>
      </c>
      <c r="M200" s="14">
        <v>0</v>
      </c>
      <c r="N200" s="13"/>
      <c r="O200" s="9"/>
    </row>
    <row r="201" spans="1:15" ht="60" x14ac:dyDescent="0.25">
      <c r="A201" s="15" t="s">
        <v>668</v>
      </c>
      <c r="B201" s="16">
        <v>1106901259</v>
      </c>
      <c r="C201" s="16">
        <v>2</v>
      </c>
      <c r="D201" s="9" t="s">
        <v>594</v>
      </c>
      <c r="E201" s="16">
        <v>193</v>
      </c>
      <c r="F201" s="17">
        <v>45779</v>
      </c>
      <c r="G201" s="20">
        <v>45931</v>
      </c>
      <c r="H201" s="21">
        <v>16500000</v>
      </c>
      <c r="I201" s="21">
        <v>3300000</v>
      </c>
      <c r="J201" s="5">
        <f>3190000+I201</f>
        <v>6490000</v>
      </c>
      <c r="K201" s="6">
        <f t="shared" si="12"/>
        <v>10010000</v>
      </c>
      <c r="L201" s="1">
        <f t="shared" si="13"/>
        <v>0.39333333333333331</v>
      </c>
      <c r="M201" s="14">
        <v>0</v>
      </c>
      <c r="N201" s="13"/>
      <c r="O201" s="9"/>
    </row>
    <row r="202" spans="1:15" ht="60" x14ac:dyDescent="0.25">
      <c r="A202" s="15" t="s">
        <v>669</v>
      </c>
      <c r="B202" s="16">
        <v>52334767</v>
      </c>
      <c r="C202" s="16">
        <v>3</v>
      </c>
      <c r="D202" s="9" t="s">
        <v>595</v>
      </c>
      <c r="E202" s="16">
        <v>194</v>
      </c>
      <c r="F202" s="17">
        <v>45779</v>
      </c>
      <c r="G202" s="20">
        <v>46022</v>
      </c>
      <c r="H202" s="21">
        <v>65645333</v>
      </c>
      <c r="I202" s="21">
        <v>8240000</v>
      </c>
      <c r="J202" s="5">
        <v>7965333</v>
      </c>
      <c r="K202" s="6">
        <f t="shared" si="12"/>
        <v>57680000</v>
      </c>
      <c r="L202" s="1">
        <f t="shared" si="13"/>
        <v>0.1213389076722331</v>
      </c>
      <c r="M202" s="14">
        <v>0</v>
      </c>
      <c r="N202" s="13"/>
      <c r="O202" s="9"/>
    </row>
    <row r="203" spans="1:15" ht="90" x14ac:dyDescent="0.25">
      <c r="A203" s="15" t="s">
        <v>670</v>
      </c>
      <c r="B203" s="16">
        <v>1099213505</v>
      </c>
      <c r="C203" s="16">
        <v>3</v>
      </c>
      <c r="D203" s="9" t="s">
        <v>596</v>
      </c>
      <c r="E203" s="16">
        <v>195</v>
      </c>
      <c r="F203" s="17">
        <v>45779</v>
      </c>
      <c r="G203" s="20">
        <v>46022</v>
      </c>
      <c r="H203" s="21">
        <v>26290000</v>
      </c>
      <c r="I203" s="21">
        <v>3300000</v>
      </c>
      <c r="J203" s="5">
        <f>3190000+I203</f>
        <v>6490000</v>
      </c>
      <c r="K203" s="6">
        <f t="shared" si="12"/>
        <v>19800000</v>
      </c>
      <c r="L203" s="1">
        <f t="shared" si="13"/>
        <v>0.2468619246861925</v>
      </c>
      <c r="M203" s="14">
        <v>0</v>
      </c>
      <c r="N203" s="13"/>
      <c r="O203" s="9"/>
    </row>
    <row r="204" spans="1:15" ht="120" x14ac:dyDescent="0.25">
      <c r="A204" s="15" t="s">
        <v>671</v>
      </c>
      <c r="B204" s="16">
        <v>79883532</v>
      </c>
      <c r="C204" s="16">
        <v>2</v>
      </c>
      <c r="D204" s="9" t="s">
        <v>597</v>
      </c>
      <c r="E204" s="16">
        <v>196</v>
      </c>
      <c r="F204" s="17">
        <v>45779</v>
      </c>
      <c r="G204" s="20">
        <v>46022</v>
      </c>
      <c r="H204" s="21">
        <v>65645333</v>
      </c>
      <c r="I204" s="21">
        <v>8240000</v>
      </c>
      <c r="J204" s="5">
        <f>7965333+8240000</f>
        <v>16205333</v>
      </c>
      <c r="K204" s="6">
        <f t="shared" si="12"/>
        <v>49440000</v>
      </c>
      <c r="L204" s="1">
        <f t="shared" si="13"/>
        <v>0.24686192086191416</v>
      </c>
      <c r="M204" s="14">
        <v>0</v>
      </c>
      <c r="N204" s="13"/>
      <c r="O204" s="9"/>
    </row>
    <row r="205" spans="1:15" ht="45" x14ac:dyDescent="0.25">
      <c r="A205" s="15" t="s">
        <v>672</v>
      </c>
      <c r="B205" s="16">
        <v>52069018</v>
      </c>
      <c r="C205" s="16">
        <v>9</v>
      </c>
      <c r="D205" s="9" t="s">
        <v>598</v>
      </c>
      <c r="E205" s="16">
        <v>197</v>
      </c>
      <c r="F205" s="17">
        <v>45779</v>
      </c>
      <c r="G205" s="20">
        <v>46022</v>
      </c>
      <c r="H205" s="21">
        <v>65645333</v>
      </c>
      <c r="I205" s="21">
        <v>8240000</v>
      </c>
      <c r="J205" s="5">
        <f>7965333+I205</f>
        <v>16205333</v>
      </c>
      <c r="K205" s="6">
        <f t="shared" si="12"/>
        <v>49440000</v>
      </c>
      <c r="L205" s="1">
        <f t="shared" si="13"/>
        <v>0.24686192086191416</v>
      </c>
      <c r="M205" s="14">
        <v>0</v>
      </c>
      <c r="N205" s="13"/>
      <c r="O205" s="9"/>
    </row>
    <row r="206" spans="1:15" ht="75" x14ac:dyDescent="0.25">
      <c r="A206" s="41" t="s">
        <v>673</v>
      </c>
      <c r="B206" s="42">
        <v>1118555258</v>
      </c>
      <c r="C206" s="42">
        <v>4</v>
      </c>
      <c r="D206" s="34" t="s">
        <v>599</v>
      </c>
      <c r="E206" s="42">
        <v>198</v>
      </c>
      <c r="F206" s="28">
        <v>45693</v>
      </c>
      <c r="G206" s="43">
        <v>46022</v>
      </c>
      <c r="H206" s="13">
        <v>56718667</v>
      </c>
      <c r="I206" s="13">
        <v>7210000</v>
      </c>
      <c r="J206" s="5">
        <f>6248667+I206</f>
        <v>13458667</v>
      </c>
      <c r="K206" s="6">
        <f t="shared" si="12"/>
        <v>43260000</v>
      </c>
      <c r="L206" s="1">
        <f t="shared" si="13"/>
        <v>0.23728814007564736</v>
      </c>
      <c r="M206" s="14">
        <v>0</v>
      </c>
      <c r="N206" s="13"/>
      <c r="O206" s="9"/>
    </row>
    <row r="207" spans="1:15" ht="60" x14ac:dyDescent="0.25">
      <c r="A207" s="41" t="s">
        <v>674</v>
      </c>
      <c r="B207" s="42">
        <v>35198703</v>
      </c>
      <c r="C207" s="42">
        <v>7</v>
      </c>
      <c r="D207" s="34" t="s">
        <v>600</v>
      </c>
      <c r="E207" s="42">
        <v>199</v>
      </c>
      <c r="F207" s="28">
        <v>45784</v>
      </c>
      <c r="G207" s="43">
        <v>46022</v>
      </c>
      <c r="H207" s="13">
        <v>36925500</v>
      </c>
      <c r="I207" s="13">
        <v>4635000</v>
      </c>
      <c r="J207" s="5"/>
      <c r="K207" s="6">
        <f t="shared" si="12"/>
        <v>36925500</v>
      </c>
      <c r="L207" s="1">
        <f t="shared" si="13"/>
        <v>0</v>
      </c>
      <c r="M207" s="14">
        <v>0</v>
      </c>
      <c r="N207" s="13"/>
      <c r="O207" s="9"/>
    </row>
    <row r="208" spans="1:15" ht="90" x14ac:dyDescent="0.25">
      <c r="A208" s="41" t="s">
        <v>675</v>
      </c>
      <c r="B208" s="42">
        <v>1098720866</v>
      </c>
      <c r="C208" s="42">
        <v>8</v>
      </c>
      <c r="D208" s="34" t="s">
        <v>601</v>
      </c>
      <c r="E208" s="42">
        <v>200</v>
      </c>
      <c r="F208" s="28">
        <v>45779</v>
      </c>
      <c r="G208" s="43">
        <v>46022</v>
      </c>
      <c r="H208" s="13">
        <v>26290000</v>
      </c>
      <c r="I208" s="13">
        <v>3300000</v>
      </c>
      <c r="J208" s="5">
        <f>3190000+I208</f>
        <v>6490000</v>
      </c>
      <c r="K208" s="6">
        <f t="shared" si="12"/>
        <v>19800000</v>
      </c>
      <c r="L208" s="1">
        <f t="shared" si="13"/>
        <v>0.2468619246861925</v>
      </c>
      <c r="M208" s="14">
        <v>0</v>
      </c>
      <c r="N208" s="13"/>
      <c r="O208" s="9"/>
    </row>
    <row r="209" spans="1:15" ht="105" x14ac:dyDescent="0.25">
      <c r="A209" s="41" t="s">
        <v>114</v>
      </c>
      <c r="B209" s="42">
        <v>52538558</v>
      </c>
      <c r="C209" s="42">
        <v>7</v>
      </c>
      <c r="D209" s="34" t="s">
        <v>602</v>
      </c>
      <c r="E209" s="42">
        <v>201</v>
      </c>
      <c r="F209" s="28">
        <v>45779</v>
      </c>
      <c r="G209" s="43">
        <v>46022</v>
      </c>
      <c r="H209" s="13">
        <v>74671566</v>
      </c>
      <c r="I209" s="13">
        <v>9373000</v>
      </c>
      <c r="J209" s="5">
        <f>9060566+I209</f>
        <v>18433566</v>
      </c>
      <c r="K209" s="6">
        <f t="shared" si="12"/>
        <v>56238000</v>
      </c>
      <c r="L209" s="1">
        <f t="shared" si="13"/>
        <v>0.24686191796218659</v>
      </c>
      <c r="M209" s="14">
        <v>0</v>
      </c>
      <c r="N209" s="13"/>
      <c r="O209" s="9"/>
    </row>
    <row r="210" spans="1:15" ht="75" x14ac:dyDescent="0.25">
      <c r="A210" s="41" t="s">
        <v>676</v>
      </c>
      <c r="B210" s="42">
        <v>52547844</v>
      </c>
      <c r="C210" s="42">
        <v>7</v>
      </c>
      <c r="D210" s="34" t="s">
        <v>603</v>
      </c>
      <c r="E210" s="42">
        <v>202</v>
      </c>
      <c r="F210" s="28">
        <v>45782</v>
      </c>
      <c r="G210" s="43">
        <v>46022</v>
      </c>
      <c r="H210" s="13">
        <v>48616000</v>
      </c>
      <c r="I210" s="13">
        <v>6180000</v>
      </c>
      <c r="J210" s="5">
        <f>5356000+I210</f>
        <v>11536000</v>
      </c>
      <c r="K210" s="6">
        <f t="shared" si="12"/>
        <v>37080000</v>
      </c>
      <c r="L210" s="1">
        <f t="shared" si="13"/>
        <v>0.23728813559322037</v>
      </c>
      <c r="M210" s="14">
        <v>0</v>
      </c>
      <c r="N210" s="13"/>
      <c r="O210" s="9"/>
    </row>
    <row r="211" spans="1:15" ht="150" x14ac:dyDescent="0.25">
      <c r="A211" s="41" t="s">
        <v>677</v>
      </c>
      <c r="B211" s="42">
        <v>830051851</v>
      </c>
      <c r="C211" s="42">
        <v>0</v>
      </c>
      <c r="D211" s="34" t="s">
        <v>604</v>
      </c>
      <c r="E211" s="42">
        <v>203</v>
      </c>
      <c r="F211" s="28">
        <v>45785</v>
      </c>
      <c r="G211" s="43">
        <v>45968</v>
      </c>
      <c r="H211" s="13">
        <v>80896200</v>
      </c>
      <c r="I211" s="13" t="s">
        <v>729</v>
      </c>
      <c r="J211" s="5">
        <f>10336736+13482700</f>
        <v>23819436</v>
      </c>
      <c r="K211" s="6">
        <f t="shared" si="12"/>
        <v>57076764</v>
      </c>
      <c r="L211" s="1">
        <f t="shared" si="13"/>
        <v>0.29444443620343108</v>
      </c>
      <c r="M211" s="14">
        <v>0</v>
      </c>
      <c r="N211" s="13"/>
      <c r="O211" s="9"/>
    </row>
    <row r="212" spans="1:15" ht="105" x14ac:dyDescent="0.25">
      <c r="A212" s="41" t="s">
        <v>678</v>
      </c>
      <c r="B212" s="42">
        <v>1116547310</v>
      </c>
      <c r="C212" s="42">
        <v>9</v>
      </c>
      <c r="D212" s="34" t="s">
        <v>605</v>
      </c>
      <c r="E212" s="42">
        <v>204</v>
      </c>
      <c r="F212" s="28">
        <v>45785</v>
      </c>
      <c r="G212" s="43">
        <v>45967</v>
      </c>
      <c r="H212" s="13">
        <v>33990000</v>
      </c>
      <c r="I212" s="13">
        <v>5665000</v>
      </c>
      <c r="J212" s="5">
        <f>4343166+I212</f>
        <v>10008166</v>
      </c>
      <c r="K212" s="6">
        <f t="shared" si="12"/>
        <v>23981834</v>
      </c>
      <c r="L212" s="1">
        <f t="shared" si="13"/>
        <v>0.29444442483083255</v>
      </c>
      <c r="M212" s="14">
        <v>0</v>
      </c>
      <c r="N212" s="13"/>
      <c r="O212" s="9"/>
    </row>
    <row r="213" spans="1:15" ht="105" x14ac:dyDescent="0.25">
      <c r="A213" s="41" t="s">
        <v>679</v>
      </c>
      <c r="B213" s="42">
        <v>1016063470</v>
      </c>
      <c r="C213" s="42">
        <v>8</v>
      </c>
      <c r="D213" s="34" t="s">
        <v>606</v>
      </c>
      <c r="E213" s="42">
        <v>205</v>
      </c>
      <c r="F213" s="28">
        <v>45785</v>
      </c>
      <c r="G213" s="43">
        <v>45968</v>
      </c>
      <c r="H213" s="13">
        <v>33990000</v>
      </c>
      <c r="I213" s="13">
        <v>5665000</v>
      </c>
      <c r="J213" s="5">
        <f>4343167+I213</f>
        <v>10008167</v>
      </c>
      <c r="K213" s="6">
        <f t="shared" si="12"/>
        <v>23981833</v>
      </c>
      <c r="L213" s="1">
        <f t="shared" si="13"/>
        <v>0.29444445425125032</v>
      </c>
      <c r="M213" s="14">
        <v>0</v>
      </c>
      <c r="N213" s="13"/>
      <c r="O213" s="9"/>
    </row>
    <row r="214" spans="1:15" ht="105" x14ac:dyDescent="0.25">
      <c r="A214" s="41" t="s">
        <v>680</v>
      </c>
      <c r="B214" s="42">
        <v>1033763829</v>
      </c>
      <c r="C214" s="42">
        <v>3</v>
      </c>
      <c r="D214" s="34" t="s">
        <v>607</v>
      </c>
      <c r="E214" s="42">
        <v>206</v>
      </c>
      <c r="F214" s="28">
        <v>45785</v>
      </c>
      <c r="G214" s="43">
        <v>45968</v>
      </c>
      <c r="H214" s="13">
        <v>33990000</v>
      </c>
      <c r="I214" s="13">
        <v>5665000</v>
      </c>
      <c r="J214" s="5">
        <f>4343166+I214</f>
        <v>10008166</v>
      </c>
      <c r="K214" s="6">
        <f t="shared" si="12"/>
        <v>23981834</v>
      </c>
      <c r="L214" s="1">
        <f t="shared" si="13"/>
        <v>0.29444442483083255</v>
      </c>
      <c r="M214" s="14">
        <v>0</v>
      </c>
      <c r="N214" s="13"/>
      <c r="O214" s="9"/>
    </row>
    <row r="215" spans="1:15" ht="90" x14ac:dyDescent="0.25">
      <c r="A215" s="41" t="s">
        <v>681</v>
      </c>
      <c r="B215" s="42">
        <v>53045693</v>
      </c>
      <c r="C215" s="42">
        <v>0</v>
      </c>
      <c r="D215" s="34" t="s">
        <v>608</v>
      </c>
      <c r="E215" s="42">
        <v>207</v>
      </c>
      <c r="F215" s="28">
        <v>45785</v>
      </c>
      <c r="G215" s="43">
        <v>45968</v>
      </c>
      <c r="H215" s="13">
        <v>61800000</v>
      </c>
      <c r="I215" s="13">
        <v>10300000</v>
      </c>
      <c r="J215" s="5">
        <f>7896666+I215</f>
        <v>18196666</v>
      </c>
      <c r="K215" s="6">
        <f t="shared" si="12"/>
        <v>43603334</v>
      </c>
      <c r="L215" s="1">
        <f t="shared" si="13"/>
        <v>0.29444443365695794</v>
      </c>
      <c r="M215" s="14">
        <v>0</v>
      </c>
      <c r="N215" s="13"/>
      <c r="O215" s="9"/>
    </row>
    <row r="216" spans="1:15" ht="90" x14ac:dyDescent="0.25">
      <c r="A216" s="41" t="s">
        <v>682</v>
      </c>
      <c r="B216" s="42">
        <v>81717601</v>
      </c>
      <c r="C216" s="42">
        <v>1</v>
      </c>
      <c r="D216" s="34" t="s">
        <v>609</v>
      </c>
      <c r="E216" s="42">
        <v>208</v>
      </c>
      <c r="F216" s="28">
        <v>45785</v>
      </c>
      <c r="G216" s="43">
        <v>45968</v>
      </c>
      <c r="H216" s="13">
        <v>56238000</v>
      </c>
      <c r="I216" s="13">
        <v>9373000</v>
      </c>
      <c r="J216" s="5">
        <v>7185966</v>
      </c>
      <c r="K216" s="6">
        <f t="shared" si="12"/>
        <v>49052034</v>
      </c>
      <c r="L216" s="1">
        <f t="shared" si="13"/>
        <v>0.12777776592339696</v>
      </c>
      <c r="M216" s="14">
        <v>0</v>
      </c>
      <c r="N216" s="13"/>
      <c r="O216" s="9"/>
    </row>
    <row r="217" spans="1:15" ht="105" x14ac:dyDescent="0.25">
      <c r="A217" s="41" t="s">
        <v>683</v>
      </c>
      <c r="B217" s="42">
        <v>1072662456</v>
      </c>
      <c r="C217" s="42">
        <v>8</v>
      </c>
      <c r="D217" s="34" t="s">
        <v>610</v>
      </c>
      <c r="E217" s="42">
        <v>209</v>
      </c>
      <c r="F217" s="28">
        <v>45782</v>
      </c>
      <c r="G217" s="43">
        <v>46022</v>
      </c>
      <c r="H217" s="13">
        <v>64821333</v>
      </c>
      <c r="I217" s="13">
        <v>8240000</v>
      </c>
      <c r="J217" s="5">
        <f>7141333+I217</f>
        <v>15381333</v>
      </c>
      <c r="K217" s="6">
        <f t="shared" si="12"/>
        <v>49440000</v>
      </c>
      <c r="L217" s="1">
        <f t="shared" si="13"/>
        <v>0.23728813167109664</v>
      </c>
      <c r="M217" s="14">
        <v>0</v>
      </c>
      <c r="N217" s="13"/>
      <c r="O217" s="9"/>
    </row>
    <row r="218" spans="1:15" ht="75" x14ac:dyDescent="0.25">
      <c r="A218" s="41" t="s">
        <v>684</v>
      </c>
      <c r="B218" s="42">
        <v>33367099</v>
      </c>
      <c r="C218" s="42">
        <v>4</v>
      </c>
      <c r="D218" s="34" t="s">
        <v>611</v>
      </c>
      <c r="E218" s="42">
        <v>210</v>
      </c>
      <c r="F218" s="28">
        <v>45784</v>
      </c>
      <c r="G218" s="43">
        <v>46022</v>
      </c>
      <c r="H218" s="13">
        <v>64272000</v>
      </c>
      <c r="I218" s="13">
        <v>8240000</v>
      </c>
      <c r="J218" s="5">
        <f>6592000+I218</f>
        <v>14832000</v>
      </c>
      <c r="K218" s="6">
        <f t="shared" si="12"/>
        <v>49440000</v>
      </c>
      <c r="L218" s="1">
        <f t="shared" si="13"/>
        <v>0.23076923076923073</v>
      </c>
      <c r="M218" s="14">
        <v>0</v>
      </c>
      <c r="N218" s="13"/>
      <c r="O218" s="9"/>
    </row>
    <row r="219" spans="1:15" ht="75" x14ac:dyDescent="0.25">
      <c r="A219" s="41" t="s">
        <v>685</v>
      </c>
      <c r="B219" s="42"/>
      <c r="C219" s="42"/>
      <c r="D219" s="34" t="s">
        <v>612</v>
      </c>
      <c r="E219" s="42">
        <v>211</v>
      </c>
      <c r="F219" s="42"/>
      <c r="G219" s="43"/>
      <c r="H219" s="13">
        <v>531500000</v>
      </c>
      <c r="I219" s="13"/>
      <c r="J219" s="5">
        <v>0</v>
      </c>
      <c r="K219" s="6">
        <f t="shared" si="12"/>
        <v>531500000</v>
      </c>
      <c r="L219" s="1">
        <f t="shared" si="13"/>
        <v>0</v>
      </c>
      <c r="M219" s="14">
        <v>0</v>
      </c>
      <c r="N219" s="13"/>
      <c r="O219" s="9"/>
    </row>
    <row r="220" spans="1:15" ht="90" x14ac:dyDescent="0.25">
      <c r="A220" s="41" t="s">
        <v>139</v>
      </c>
      <c r="B220" s="42">
        <v>79595786</v>
      </c>
      <c r="C220" s="42">
        <v>6</v>
      </c>
      <c r="D220" s="34" t="s">
        <v>613</v>
      </c>
      <c r="E220" s="42">
        <v>212</v>
      </c>
      <c r="F220" s="28">
        <v>45784</v>
      </c>
      <c r="G220" s="43">
        <v>46022</v>
      </c>
      <c r="H220" s="13">
        <v>68289000</v>
      </c>
      <c r="I220" s="13">
        <v>8755000</v>
      </c>
      <c r="J220" s="5">
        <f>7004000+I220</f>
        <v>15759000</v>
      </c>
      <c r="K220" s="6">
        <f t="shared" si="12"/>
        <v>52530000</v>
      </c>
      <c r="L220" s="1">
        <f t="shared" si="13"/>
        <v>0.23076923076923073</v>
      </c>
      <c r="M220" s="14">
        <v>0</v>
      </c>
      <c r="N220" s="13"/>
      <c r="O220" s="9"/>
    </row>
    <row r="221" spans="1:15" ht="90" x14ac:dyDescent="0.25">
      <c r="A221" s="7" t="s">
        <v>119</v>
      </c>
      <c r="B221" s="8">
        <v>1010215529</v>
      </c>
      <c r="C221" s="8">
        <v>5</v>
      </c>
      <c r="D221" s="9" t="s">
        <v>614</v>
      </c>
      <c r="E221" s="8">
        <v>213</v>
      </c>
      <c r="F221" s="10">
        <v>45784</v>
      </c>
      <c r="G221" s="11">
        <v>46022</v>
      </c>
      <c r="H221" s="5">
        <v>68289000</v>
      </c>
      <c r="I221" s="5">
        <v>8755000</v>
      </c>
      <c r="J221" s="5">
        <f>7004000+I221</f>
        <v>15759000</v>
      </c>
      <c r="K221" s="6">
        <f t="shared" si="12"/>
        <v>52530000</v>
      </c>
      <c r="L221" s="1">
        <f t="shared" si="13"/>
        <v>0.23076923076923073</v>
      </c>
      <c r="M221" s="12">
        <v>0</v>
      </c>
      <c r="N221" s="5"/>
      <c r="O221" s="9"/>
    </row>
    <row r="222" spans="1:15" ht="45" x14ac:dyDescent="0.25">
      <c r="A222" s="7" t="s">
        <v>686</v>
      </c>
      <c r="B222" s="8">
        <v>80449429</v>
      </c>
      <c r="C222" s="8">
        <v>5</v>
      </c>
      <c r="D222" s="9" t="s">
        <v>615</v>
      </c>
      <c r="E222" s="8">
        <v>214</v>
      </c>
      <c r="F222" s="10">
        <v>45783</v>
      </c>
      <c r="G222" s="11">
        <v>46022</v>
      </c>
      <c r="H222" s="5">
        <v>60770000</v>
      </c>
      <c r="I222" s="5">
        <v>7725000</v>
      </c>
      <c r="J222" s="5">
        <v>0</v>
      </c>
      <c r="K222" s="6">
        <f t="shared" si="12"/>
        <v>60770000</v>
      </c>
      <c r="L222" s="1">
        <f t="shared" si="13"/>
        <v>0</v>
      </c>
      <c r="M222" s="12">
        <v>0</v>
      </c>
      <c r="N222" s="5"/>
      <c r="O222" s="9"/>
    </row>
    <row r="223" spans="1:15" ht="120" x14ac:dyDescent="0.25">
      <c r="A223" s="7" t="s">
        <v>687</v>
      </c>
      <c r="B223" s="8">
        <v>52793513</v>
      </c>
      <c r="C223" s="8">
        <v>8</v>
      </c>
      <c r="D223" s="9" t="s">
        <v>616</v>
      </c>
      <c r="E223" s="8">
        <v>215</v>
      </c>
      <c r="F223" s="10">
        <v>45784</v>
      </c>
      <c r="G223" s="11">
        <v>46022</v>
      </c>
      <c r="H223" s="5">
        <v>52221000</v>
      </c>
      <c r="I223" s="5">
        <v>6695000</v>
      </c>
      <c r="J223" s="5">
        <f>6695000+5356000+I223+7725000</f>
        <v>26471000</v>
      </c>
      <c r="K223" s="6">
        <f t="shared" si="12"/>
        <v>25750000</v>
      </c>
      <c r="L223" s="1">
        <f t="shared" si="13"/>
        <v>0.50690335305719914</v>
      </c>
      <c r="M223" s="12">
        <v>0</v>
      </c>
      <c r="N223" s="5"/>
      <c r="O223" s="9"/>
    </row>
    <row r="224" spans="1:15" ht="120" x14ac:dyDescent="0.25">
      <c r="A224" s="7" t="s">
        <v>688</v>
      </c>
      <c r="B224" s="8">
        <v>35417492</v>
      </c>
      <c r="C224" s="8">
        <v>9</v>
      </c>
      <c r="D224" s="9" t="s">
        <v>617</v>
      </c>
      <c r="E224" s="8">
        <v>216</v>
      </c>
      <c r="F224" s="10">
        <v>45783</v>
      </c>
      <c r="G224" s="11">
        <v>46022</v>
      </c>
      <c r="H224" s="5">
        <v>52444167</v>
      </c>
      <c r="I224" s="5">
        <v>6695000</v>
      </c>
      <c r="J224" s="5">
        <f>5579167+I224</f>
        <v>12274167</v>
      </c>
      <c r="K224" s="6">
        <f t="shared" si="12"/>
        <v>40170000</v>
      </c>
      <c r="L224" s="1">
        <f t="shared" si="13"/>
        <v>0.23404255805988872</v>
      </c>
      <c r="M224" s="12">
        <v>0</v>
      </c>
      <c r="N224" s="5"/>
      <c r="O224" s="9"/>
    </row>
    <row r="225" spans="1:15" ht="90" x14ac:dyDescent="0.25">
      <c r="A225" s="7" t="s">
        <v>689</v>
      </c>
      <c r="B225" s="8">
        <v>1121332207</v>
      </c>
      <c r="C225" s="8">
        <v>2</v>
      </c>
      <c r="D225" s="9" t="s">
        <v>618</v>
      </c>
      <c r="E225" s="8">
        <v>217</v>
      </c>
      <c r="F225" s="10">
        <v>45786</v>
      </c>
      <c r="G225" s="11">
        <v>46022</v>
      </c>
      <c r="H225" s="5">
        <v>31466500</v>
      </c>
      <c r="I225" s="5">
        <v>4017000</v>
      </c>
      <c r="J225" s="5">
        <f>2945800+I225</f>
        <v>6962800</v>
      </c>
      <c r="K225" s="6">
        <f t="shared" si="12"/>
        <v>24503700</v>
      </c>
      <c r="L225" s="1">
        <f t="shared" si="13"/>
        <v>0.22127659574468084</v>
      </c>
      <c r="M225" s="12">
        <v>0</v>
      </c>
      <c r="N225" s="5"/>
      <c r="O225" s="9"/>
    </row>
    <row r="226" spans="1:15" ht="75" x14ac:dyDescent="0.25">
      <c r="A226" s="7" t="s">
        <v>690</v>
      </c>
      <c r="B226" s="8">
        <v>1010218439</v>
      </c>
      <c r="C226" s="8">
        <v>4</v>
      </c>
      <c r="D226" s="9" t="s">
        <v>619</v>
      </c>
      <c r="E226" s="8">
        <v>218</v>
      </c>
      <c r="F226" s="10">
        <v>45783</v>
      </c>
      <c r="G226" s="11">
        <v>46022</v>
      </c>
      <c r="H226" s="5">
        <v>60770000</v>
      </c>
      <c r="I226" s="5">
        <v>7725000</v>
      </c>
      <c r="J226" s="5">
        <f>6695000+I226</f>
        <v>14420000</v>
      </c>
      <c r="K226" s="6">
        <f t="shared" si="12"/>
        <v>46350000</v>
      </c>
      <c r="L226" s="1">
        <f t="shared" si="13"/>
        <v>0.23728813559322037</v>
      </c>
      <c r="M226" s="12">
        <v>0</v>
      </c>
      <c r="N226" s="5"/>
      <c r="O226" s="9"/>
    </row>
    <row r="227" spans="1:15" ht="45" x14ac:dyDescent="0.25">
      <c r="A227" s="7" t="s">
        <v>691</v>
      </c>
      <c r="B227" s="8">
        <v>1070821692</v>
      </c>
      <c r="C227" s="8">
        <v>5</v>
      </c>
      <c r="D227" s="9" t="s">
        <v>620</v>
      </c>
      <c r="E227" s="8">
        <v>219</v>
      </c>
      <c r="F227" s="10">
        <v>45783</v>
      </c>
      <c r="G227" s="11">
        <v>45971</v>
      </c>
      <c r="H227" s="5">
        <v>24771500</v>
      </c>
      <c r="I227" s="5">
        <v>4017000</v>
      </c>
      <c r="J227" s="5">
        <f>3347500+I227</f>
        <v>7364500</v>
      </c>
      <c r="K227" s="6">
        <f t="shared" si="12"/>
        <v>17407000</v>
      </c>
      <c r="L227" s="1">
        <f t="shared" si="13"/>
        <v>0.29729729729729726</v>
      </c>
      <c r="M227" s="12">
        <v>0</v>
      </c>
      <c r="N227" s="5"/>
      <c r="O227" s="9"/>
    </row>
    <row r="228" spans="1:15" ht="75" x14ac:dyDescent="0.25">
      <c r="A228" s="7" t="s">
        <v>692</v>
      </c>
      <c r="B228" s="8">
        <v>52966715</v>
      </c>
      <c r="C228" s="8">
        <v>2</v>
      </c>
      <c r="D228" s="9" t="s">
        <v>621</v>
      </c>
      <c r="E228" s="8">
        <v>220</v>
      </c>
      <c r="F228" s="10">
        <v>45784</v>
      </c>
      <c r="G228" s="11">
        <v>45967</v>
      </c>
      <c r="H228" s="5">
        <v>27810000</v>
      </c>
      <c r="I228" s="5">
        <v>4635000</v>
      </c>
      <c r="J228" s="5">
        <f>3708000+I228</f>
        <v>8343000</v>
      </c>
      <c r="K228" s="6">
        <f t="shared" si="12"/>
        <v>19467000</v>
      </c>
      <c r="L228" s="1">
        <f t="shared" si="13"/>
        <v>0.30000000000000004</v>
      </c>
      <c r="M228" s="12">
        <v>0</v>
      </c>
      <c r="N228" s="5"/>
      <c r="O228" s="9"/>
    </row>
    <row r="229" spans="1:15" ht="60" x14ac:dyDescent="0.25">
      <c r="A229" s="7" t="s">
        <v>693</v>
      </c>
      <c r="B229" s="8">
        <v>1073384011</v>
      </c>
      <c r="C229" s="8">
        <v>5</v>
      </c>
      <c r="D229" s="44" t="s">
        <v>622</v>
      </c>
      <c r="E229" s="8">
        <v>221</v>
      </c>
      <c r="F229" s="10">
        <v>45789</v>
      </c>
      <c r="G229" s="11">
        <v>46022</v>
      </c>
      <c r="H229" s="5">
        <v>14735867</v>
      </c>
      <c r="I229" s="5">
        <v>1905500</v>
      </c>
      <c r="J229" s="5">
        <f>1206816+I229</f>
        <v>3112316</v>
      </c>
      <c r="K229" s="6">
        <f t="shared" si="12"/>
        <v>11623551</v>
      </c>
      <c r="L229" s="1">
        <f t="shared" si="13"/>
        <v>0.21120684653302046</v>
      </c>
      <c r="M229" s="12">
        <v>0</v>
      </c>
      <c r="N229" s="5"/>
      <c r="O229" s="9"/>
    </row>
    <row r="230" spans="1:15" ht="105" x14ac:dyDescent="0.25">
      <c r="A230" s="7" t="s">
        <v>694</v>
      </c>
      <c r="B230" s="8">
        <v>37555335</v>
      </c>
      <c r="C230" s="8">
        <v>9</v>
      </c>
      <c r="D230" s="8" t="s">
        <v>623</v>
      </c>
      <c r="E230" s="8">
        <v>222</v>
      </c>
      <c r="F230" s="10">
        <v>45784</v>
      </c>
      <c r="G230" s="11">
        <v>46022</v>
      </c>
      <c r="H230" s="5">
        <v>68289000</v>
      </c>
      <c r="I230" s="5">
        <v>8755000</v>
      </c>
      <c r="J230" s="5">
        <f>7004000+I230</f>
        <v>15759000</v>
      </c>
      <c r="K230" s="6">
        <f t="shared" si="12"/>
        <v>52530000</v>
      </c>
      <c r="L230" s="1">
        <f t="shared" si="13"/>
        <v>0.23076923076923073</v>
      </c>
      <c r="M230" s="12">
        <v>0</v>
      </c>
      <c r="N230" s="5"/>
      <c r="O230" s="9"/>
    </row>
    <row r="231" spans="1:15" ht="75" x14ac:dyDescent="0.25">
      <c r="A231" s="7" t="s">
        <v>695</v>
      </c>
      <c r="B231" s="8">
        <v>7332745</v>
      </c>
      <c r="C231" s="8">
        <v>9</v>
      </c>
      <c r="D231" s="8" t="s">
        <v>624</v>
      </c>
      <c r="E231" s="8">
        <v>223</v>
      </c>
      <c r="F231" s="10">
        <v>45784</v>
      </c>
      <c r="G231" s="11">
        <v>46022</v>
      </c>
      <c r="H231" s="5">
        <v>48204000</v>
      </c>
      <c r="I231" s="5">
        <v>6180000</v>
      </c>
      <c r="J231" s="5">
        <f>4944000+I231</f>
        <v>11124000</v>
      </c>
      <c r="K231" s="6">
        <f t="shared" si="12"/>
        <v>37080000</v>
      </c>
      <c r="L231" s="1">
        <f t="shared" si="13"/>
        <v>0.23076923076923073</v>
      </c>
      <c r="M231" s="12">
        <v>0</v>
      </c>
      <c r="N231" s="5"/>
      <c r="O231" s="9"/>
    </row>
    <row r="232" spans="1:15" ht="150" x14ac:dyDescent="0.25">
      <c r="A232" s="7" t="s">
        <v>696</v>
      </c>
      <c r="B232" s="8">
        <v>1102856359</v>
      </c>
      <c r="C232" s="8">
        <v>3</v>
      </c>
      <c r="D232" s="8" t="s">
        <v>625</v>
      </c>
      <c r="E232" s="8">
        <v>224</v>
      </c>
      <c r="F232" s="10">
        <v>45784</v>
      </c>
      <c r="G232" s="11">
        <v>46022</v>
      </c>
      <c r="H232" s="5">
        <v>52221000</v>
      </c>
      <c r="I232" s="5">
        <v>6695000</v>
      </c>
      <c r="J232" s="5">
        <f>5356000+I232</f>
        <v>12051000</v>
      </c>
      <c r="K232" s="6">
        <f t="shared" si="12"/>
        <v>40170000</v>
      </c>
      <c r="L232" s="1">
        <f t="shared" si="13"/>
        <v>0.23076923076923073</v>
      </c>
      <c r="M232" s="12">
        <v>0</v>
      </c>
      <c r="N232" s="5"/>
      <c r="O232" s="9"/>
    </row>
    <row r="233" spans="1:15" ht="45" x14ac:dyDescent="0.25">
      <c r="A233" s="7" t="s">
        <v>697</v>
      </c>
      <c r="B233" s="8">
        <v>1026260361</v>
      </c>
      <c r="C233" s="8">
        <v>4</v>
      </c>
      <c r="D233" s="8" t="s">
        <v>626</v>
      </c>
      <c r="E233" s="8">
        <v>225</v>
      </c>
      <c r="F233" s="10">
        <v>45784</v>
      </c>
      <c r="G233" s="11">
        <v>45875</v>
      </c>
      <c r="H233" s="5">
        <v>15450000</v>
      </c>
      <c r="I233" s="5">
        <v>5150000</v>
      </c>
      <c r="J233" s="5">
        <f>4120000+I233</f>
        <v>9270000</v>
      </c>
      <c r="K233" s="6">
        <f t="shared" si="12"/>
        <v>6180000</v>
      </c>
      <c r="L233" s="1">
        <f t="shared" si="13"/>
        <v>0.6</v>
      </c>
      <c r="M233" s="12">
        <v>0</v>
      </c>
      <c r="N233" s="5"/>
      <c r="O233" s="9"/>
    </row>
    <row r="234" spans="1:15" ht="60" x14ac:dyDescent="0.25">
      <c r="A234" s="7" t="s">
        <v>698</v>
      </c>
      <c r="B234" s="8">
        <v>1032467452</v>
      </c>
      <c r="C234" s="8">
        <v>8</v>
      </c>
      <c r="D234" s="8" t="s">
        <v>627</v>
      </c>
      <c r="E234" s="8">
        <v>226</v>
      </c>
      <c r="F234" s="10">
        <v>45798</v>
      </c>
      <c r="G234" s="11">
        <v>46022</v>
      </c>
      <c r="H234" s="5">
        <v>41921000</v>
      </c>
      <c r="I234" s="5">
        <v>5665000</v>
      </c>
      <c r="J234" s="5">
        <f>2266000+I234</f>
        <v>7931000</v>
      </c>
      <c r="K234" s="6">
        <f t="shared" si="12"/>
        <v>33990000</v>
      </c>
      <c r="L234" s="1">
        <f t="shared" si="13"/>
        <v>0.18918918918918914</v>
      </c>
      <c r="M234" s="12">
        <v>0</v>
      </c>
      <c r="N234" s="5"/>
      <c r="O234" s="9"/>
    </row>
    <row r="235" spans="1:15" ht="90" x14ac:dyDescent="0.25">
      <c r="A235" s="7" t="s">
        <v>699</v>
      </c>
      <c r="B235" s="8">
        <v>1012376050</v>
      </c>
      <c r="C235" s="8">
        <v>7</v>
      </c>
      <c r="D235" s="8" t="s">
        <v>628</v>
      </c>
      <c r="E235" s="8">
        <v>227</v>
      </c>
      <c r="F235" s="10">
        <v>45813</v>
      </c>
      <c r="G235" s="11">
        <v>46022</v>
      </c>
      <c r="H235" s="5">
        <v>25585200</v>
      </c>
      <c r="I235" s="5">
        <v>3708000</v>
      </c>
      <c r="J235" s="5">
        <v>0</v>
      </c>
      <c r="K235" s="6">
        <f t="shared" si="12"/>
        <v>25585200</v>
      </c>
      <c r="L235" s="1">
        <f t="shared" si="13"/>
        <v>0</v>
      </c>
      <c r="M235" s="12">
        <v>0</v>
      </c>
      <c r="N235" s="5"/>
      <c r="O235" s="9"/>
    </row>
    <row r="236" spans="1:15" ht="105" x14ac:dyDescent="0.25">
      <c r="A236" s="7" t="s">
        <v>700</v>
      </c>
      <c r="B236" s="8">
        <v>1120740182</v>
      </c>
      <c r="C236" s="8">
        <v>3</v>
      </c>
      <c r="D236" s="8" t="s">
        <v>629</v>
      </c>
      <c r="E236" s="8">
        <v>228</v>
      </c>
      <c r="F236" s="10">
        <v>45785</v>
      </c>
      <c r="G236" s="11">
        <v>46022</v>
      </c>
      <c r="H236" s="5">
        <v>63997333</v>
      </c>
      <c r="I236" s="5">
        <v>8240000</v>
      </c>
      <c r="J236" s="5">
        <f>6317333+I236</f>
        <v>14557333</v>
      </c>
      <c r="K236" s="6">
        <f t="shared" si="12"/>
        <v>49440000</v>
      </c>
      <c r="L236" s="1">
        <f t="shared" si="13"/>
        <v>0.22746780713502546</v>
      </c>
      <c r="M236" s="12">
        <v>0</v>
      </c>
      <c r="N236" s="5"/>
      <c r="O236" s="9"/>
    </row>
    <row r="237" spans="1:15" ht="90" x14ac:dyDescent="0.25">
      <c r="A237" s="7" t="s">
        <v>108</v>
      </c>
      <c r="B237" s="8">
        <v>34568513</v>
      </c>
      <c r="C237" s="8">
        <v>9</v>
      </c>
      <c r="D237" s="8" t="s">
        <v>630</v>
      </c>
      <c r="E237" s="8">
        <v>229</v>
      </c>
      <c r="F237" s="10">
        <v>45785</v>
      </c>
      <c r="G237" s="11">
        <v>46022</v>
      </c>
      <c r="H237" s="5">
        <v>72796967</v>
      </c>
      <c r="I237" s="5">
        <v>9373000</v>
      </c>
      <c r="J237" s="5">
        <f>7185967+I237</f>
        <v>16558967</v>
      </c>
      <c r="K237" s="6">
        <f t="shared" si="12"/>
        <v>56238000</v>
      </c>
      <c r="L237" s="1">
        <f t="shared" si="13"/>
        <v>0.22746781469618094</v>
      </c>
      <c r="M237" s="12">
        <v>0</v>
      </c>
      <c r="N237" s="5"/>
      <c r="O237" s="9"/>
    </row>
    <row r="238" spans="1:15" ht="105" x14ac:dyDescent="0.25">
      <c r="A238" s="7" t="s">
        <v>701</v>
      </c>
      <c r="B238" s="8">
        <v>1019146315</v>
      </c>
      <c r="C238" s="8">
        <v>2</v>
      </c>
      <c r="D238" s="8" t="s">
        <v>631</v>
      </c>
      <c r="E238" s="8">
        <v>230</v>
      </c>
      <c r="F238" s="10">
        <v>45789</v>
      </c>
      <c r="G238" s="11">
        <v>46022</v>
      </c>
      <c r="H238" s="5">
        <v>28798800</v>
      </c>
      <c r="I238" s="5">
        <v>3708000</v>
      </c>
      <c r="J238" s="5">
        <f>2348400+I238</f>
        <v>6056400</v>
      </c>
      <c r="K238" s="6">
        <f t="shared" si="12"/>
        <v>22742400</v>
      </c>
      <c r="L238" s="1">
        <f t="shared" si="13"/>
        <v>0.21030042918454939</v>
      </c>
      <c r="M238" s="12">
        <v>0</v>
      </c>
      <c r="N238" s="5"/>
      <c r="O238" s="9"/>
    </row>
    <row r="239" spans="1:15" ht="120" x14ac:dyDescent="0.25">
      <c r="A239" s="7" t="s">
        <v>702</v>
      </c>
      <c r="B239" s="8">
        <v>1110588794</v>
      </c>
      <c r="C239" s="8">
        <v>3</v>
      </c>
      <c r="D239" s="8" t="s">
        <v>632</v>
      </c>
      <c r="E239" s="8">
        <v>231</v>
      </c>
      <c r="F239" s="10">
        <v>45792</v>
      </c>
      <c r="G239" s="11">
        <v>46022</v>
      </c>
      <c r="H239" s="5">
        <v>54555667</v>
      </c>
      <c r="I239" s="5">
        <v>7210000</v>
      </c>
      <c r="J239" s="5">
        <f>3845333+I239</f>
        <v>11055333</v>
      </c>
      <c r="K239" s="6">
        <f t="shared" si="12"/>
        <v>43500334</v>
      </c>
      <c r="L239" s="1">
        <f t="shared" si="13"/>
        <v>0.20264316445805708</v>
      </c>
      <c r="M239" s="12">
        <v>0</v>
      </c>
      <c r="N239" s="5"/>
      <c r="O239" s="9"/>
    </row>
    <row r="240" spans="1:15" ht="90" x14ac:dyDescent="0.25">
      <c r="A240" s="7" t="s">
        <v>134</v>
      </c>
      <c r="B240" s="8">
        <v>1070948522</v>
      </c>
      <c r="C240" s="8">
        <v>8</v>
      </c>
      <c r="D240" s="8" t="s">
        <v>633</v>
      </c>
      <c r="E240" s="8">
        <v>232</v>
      </c>
      <c r="F240" s="10">
        <v>45786</v>
      </c>
      <c r="G240" s="11">
        <v>46014</v>
      </c>
      <c r="H240" s="5">
        <v>50212500</v>
      </c>
      <c r="I240" s="5">
        <v>6695000</v>
      </c>
      <c r="J240" s="5">
        <f>4909667+I240</f>
        <v>11604667</v>
      </c>
      <c r="K240" s="6">
        <f t="shared" si="12"/>
        <v>38607833</v>
      </c>
      <c r="L240" s="1">
        <f t="shared" si="13"/>
        <v>0.23111111774956439</v>
      </c>
      <c r="M240" s="12">
        <v>0</v>
      </c>
      <c r="N240" s="5"/>
      <c r="O240" s="9"/>
    </row>
    <row r="241" spans="1:15" ht="120" x14ac:dyDescent="0.25">
      <c r="A241" s="7" t="s">
        <v>703</v>
      </c>
      <c r="B241" s="8">
        <v>12646538</v>
      </c>
      <c r="C241" s="8">
        <v>7</v>
      </c>
      <c r="D241" s="8" t="s">
        <v>634</v>
      </c>
      <c r="E241" s="8">
        <v>233</v>
      </c>
      <c r="F241" s="10">
        <v>45789</v>
      </c>
      <c r="G241" s="11">
        <v>46022</v>
      </c>
      <c r="H241" s="5">
        <v>71547233</v>
      </c>
      <c r="I241" s="5">
        <v>9373000</v>
      </c>
      <c r="J241" s="5">
        <f>5936233+I241</f>
        <v>15309233</v>
      </c>
      <c r="K241" s="6">
        <f t="shared" si="12"/>
        <v>56238000</v>
      </c>
      <c r="L241" s="1">
        <f t="shared" si="13"/>
        <v>0.21397379546459894</v>
      </c>
      <c r="M241" s="12">
        <v>0</v>
      </c>
      <c r="N241" s="5"/>
      <c r="O241" s="9"/>
    </row>
    <row r="242" spans="1:15" ht="120" x14ac:dyDescent="0.25">
      <c r="A242" s="7" t="s">
        <v>704</v>
      </c>
      <c r="B242" s="8">
        <v>1015411723</v>
      </c>
      <c r="C242" s="8">
        <v>6</v>
      </c>
      <c r="D242" s="8" t="s">
        <v>635</v>
      </c>
      <c r="E242" s="8">
        <v>234</v>
      </c>
      <c r="F242" s="10">
        <v>45796</v>
      </c>
      <c r="G242" s="11">
        <v>46022</v>
      </c>
      <c r="H242" s="5">
        <v>62349333</v>
      </c>
      <c r="I242" s="5">
        <v>8240000</v>
      </c>
      <c r="J242" s="5">
        <f>3296000+I242</f>
        <v>11536000</v>
      </c>
      <c r="K242" s="6">
        <f t="shared" si="12"/>
        <v>50813333</v>
      </c>
      <c r="L242" s="1">
        <f t="shared" si="13"/>
        <v>0.1850220274208868</v>
      </c>
      <c r="M242" s="12">
        <v>0</v>
      </c>
      <c r="N242" s="5"/>
      <c r="O242" s="9"/>
    </row>
    <row r="243" spans="1:15" ht="60" x14ac:dyDescent="0.25">
      <c r="A243" s="7" t="s">
        <v>705</v>
      </c>
      <c r="B243" s="8">
        <v>1018415947</v>
      </c>
      <c r="C243" s="8">
        <v>8</v>
      </c>
      <c r="D243" s="8" t="s">
        <v>636</v>
      </c>
      <c r="E243" s="8">
        <v>235</v>
      </c>
      <c r="F243" s="10">
        <v>45797</v>
      </c>
      <c r="G243" s="11">
        <v>46022</v>
      </c>
      <c r="H243" s="5">
        <v>50882000</v>
      </c>
      <c r="I243" s="5">
        <v>6695000</v>
      </c>
      <c r="J243" s="5">
        <f>2454833+I243</f>
        <v>9149833</v>
      </c>
      <c r="K243" s="6">
        <f t="shared" si="12"/>
        <v>41732167</v>
      </c>
      <c r="L243" s="1">
        <f t="shared" si="13"/>
        <v>0.17982455485240356</v>
      </c>
      <c r="M243" s="12">
        <v>0</v>
      </c>
      <c r="N243" s="5"/>
      <c r="O243" s="9"/>
    </row>
    <row r="244" spans="1:15" ht="45" x14ac:dyDescent="0.25">
      <c r="A244" s="7" t="s">
        <v>706</v>
      </c>
      <c r="B244" s="8">
        <v>1032377717</v>
      </c>
      <c r="C244" s="8">
        <v>8</v>
      </c>
      <c r="D244" s="8" t="s">
        <v>637</v>
      </c>
      <c r="E244" s="8">
        <v>236</v>
      </c>
      <c r="F244" s="10">
        <v>45790</v>
      </c>
      <c r="G244" s="11">
        <v>46022</v>
      </c>
      <c r="H244" s="5">
        <v>35226000</v>
      </c>
      <c r="I244" s="5">
        <v>4635000</v>
      </c>
      <c r="J244" s="5">
        <f>2781000+I244</f>
        <v>7416000</v>
      </c>
      <c r="K244" s="6">
        <f t="shared" si="12"/>
        <v>27810000</v>
      </c>
      <c r="L244" s="1">
        <f t="shared" si="13"/>
        <v>0.21052631578947367</v>
      </c>
      <c r="M244" s="12">
        <v>0</v>
      </c>
      <c r="N244" s="5"/>
      <c r="O244" s="9"/>
    </row>
    <row r="245" spans="1:15" ht="60" x14ac:dyDescent="0.25">
      <c r="A245" s="7" t="s">
        <v>707</v>
      </c>
      <c r="B245" s="8">
        <v>1121872051</v>
      </c>
      <c r="C245" s="8">
        <v>7</v>
      </c>
      <c r="D245" s="8" t="s">
        <v>638</v>
      </c>
      <c r="E245" s="8">
        <v>237</v>
      </c>
      <c r="F245" s="10">
        <v>45790</v>
      </c>
      <c r="G245" s="11">
        <v>46022</v>
      </c>
      <c r="H245" s="5">
        <v>62624000</v>
      </c>
      <c r="I245" s="5">
        <v>8240000</v>
      </c>
      <c r="J245" s="5">
        <v>0</v>
      </c>
      <c r="K245" s="6">
        <f t="shared" si="12"/>
        <v>62624000</v>
      </c>
      <c r="L245" s="1">
        <f t="shared" si="13"/>
        <v>0</v>
      </c>
      <c r="M245" s="12">
        <v>0</v>
      </c>
      <c r="N245" s="5"/>
      <c r="O245" s="9"/>
    </row>
    <row r="246" spans="1:15" ht="60" x14ac:dyDescent="0.25">
      <c r="A246" s="7" t="s">
        <v>708</v>
      </c>
      <c r="B246" s="8">
        <v>80728738</v>
      </c>
      <c r="C246" s="8">
        <v>3</v>
      </c>
      <c r="D246" s="8" t="s">
        <v>639</v>
      </c>
      <c r="E246" s="8">
        <v>238</v>
      </c>
      <c r="F246" s="10">
        <v>45791</v>
      </c>
      <c r="G246" s="11">
        <v>46022</v>
      </c>
      <c r="H246" s="5">
        <v>25080000</v>
      </c>
      <c r="I246" s="5">
        <v>3300000</v>
      </c>
      <c r="J246" s="5">
        <f>1870000+I246</f>
        <v>5170000</v>
      </c>
      <c r="K246" s="6">
        <f t="shared" si="12"/>
        <v>19910000</v>
      </c>
      <c r="L246" s="1">
        <f t="shared" si="13"/>
        <v>0.20614035087719296</v>
      </c>
      <c r="M246" s="12">
        <v>0</v>
      </c>
      <c r="N246" s="5"/>
      <c r="O246" s="9"/>
    </row>
    <row r="247" spans="1:15" ht="30" x14ac:dyDescent="0.25">
      <c r="A247" s="7" t="s">
        <v>709</v>
      </c>
      <c r="B247" s="8">
        <v>1001271551</v>
      </c>
      <c r="C247" s="8">
        <v>3</v>
      </c>
      <c r="D247" s="8" t="s">
        <v>640</v>
      </c>
      <c r="E247" s="8">
        <v>239</v>
      </c>
      <c r="F247" s="10">
        <v>45790</v>
      </c>
      <c r="G247" s="11">
        <v>46022</v>
      </c>
      <c r="H247" s="5">
        <v>25080000</v>
      </c>
      <c r="I247" s="5">
        <v>3300000</v>
      </c>
      <c r="J247" s="5">
        <f>1980000+I247</f>
        <v>5280000</v>
      </c>
      <c r="K247" s="6">
        <f t="shared" si="12"/>
        <v>19800000</v>
      </c>
      <c r="L247" s="1">
        <f t="shared" si="13"/>
        <v>0.21052631578947367</v>
      </c>
      <c r="M247" s="12">
        <v>0</v>
      </c>
      <c r="N247" s="5"/>
      <c r="O247" s="9"/>
    </row>
    <row r="248" spans="1:15" ht="60" x14ac:dyDescent="0.25">
      <c r="A248" s="7" t="s">
        <v>710</v>
      </c>
      <c r="B248" s="8">
        <v>1022365163</v>
      </c>
      <c r="C248" s="8">
        <v>1</v>
      </c>
      <c r="D248" s="8" t="s">
        <v>641</v>
      </c>
      <c r="E248" s="8">
        <v>240</v>
      </c>
      <c r="F248" s="10">
        <v>45790</v>
      </c>
      <c r="G248" s="11">
        <v>46022</v>
      </c>
      <c r="H248" s="5">
        <v>46968000</v>
      </c>
      <c r="I248" s="5">
        <v>6180000</v>
      </c>
      <c r="J248" s="5">
        <f>3708000+I248</f>
        <v>9888000</v>
      </c>
      <c r="K248" s="6">
        <f t="shared" si="12"/>
        <v>37080000</v>
      </c>
      <c r="L248" s="1">
        <f t="shared" si="13"/>
        <v>0.21052631578947367</v>
      </c>
      <c r="M248" s="12">
        <v>0</v>
      </c>
      <c r="N248" s="5"/>
      <c r="O248" s="9"/>
    </row>
    <row r="249" spans="1:15" ht="45" x14ac:dyDescent="0.25">
      <c r="A249" s="7" t="s">
        <v>711</v>
      </c>
      <c r="B249" s="8">
        <v>1061726646</v>
      </c>
      <c r="C249" s="8">
        <v>7</v>
      </c>
      <c r="D249" s="8" t="s">
        <v>642</v>
      </c>
      <c r="E249" s="8">
        <v>241</v>
      </c>
      <c r="F249" s="10">
        <v>45792</v>
      </c>
      <c r="G249" s="11">
        <v>46022</v>
      </c>
      <c r="H249" s="5">
        <v>28057200</v>
      </c>
      <c r="I249" s="5">
        <v>3708000</v>
      </c>
      <c r="J249" s="5">
        <f>1854000+I249</f>
        <v>5562000</v>
      </c>
      <c r="K249" s="6">
        <f t="shared" si="12"/>
        <v>22495200</v>
      </c>
      <c r="L249" s="1">
        <f t="shared" si="13"/>
        <v>0.19823788546255505</v>
      </c>
      <c r="M249" s="12">
        <v>0</v>
      </c>
      <c r="N249" s="5"/>
      <c r="O249" s="9"/>
    </row>
    <row r="250" spans="1:15" ht="45" x14ac:dyDescent="0.25">
      <c r="A250" s="7" t="s">
        <v>712</v>
      </c>
      <c r="B250" s="8">
        <v>901376413</v>
      </c>
      <c r="C250" s="8">
        <v>0</v>
      </c>
      <c r="D250" s="8" t="s">
        <v>643</v>
      </c>
      <c r="E250" s="8">
        <v>242</v>
      </c>
      <c r="F250" s="10">
        <v>45799</v>
      </c>
      <c r="G250" s="11">
        <v>46022</v>
      </c>
      <c r="H250" s="5">
        <v>5150000</v>
      </c>
      <c r="I250" s="5"/>
      <c r="J250" s="5">
        <f>1658367</f>
        <v>1658367</v>
      </c>
      <c r="K250" s="6">
        <f t="shared" si="12"/>
        <v>3491633</v>
      </c>
      <c r="L250" s="1">
        <f t="shared" si="13"/>
        <v>0.32201300970873792</v>
      </c>
      <c r="M250" s="12">
        <v>0</v>
      </c>
      <c r="N250" s="5"/>
      <c r="O250" s="9"/>
    </row>
    <row r="251" spans="1:15" ht="60" x14ac:dyDescent="0.25">
      <c r="A251" s="7" t="s">
        <v>713</v>
      </c>
      <c r="B251" s="8">
        <v>52560160</v>
      </c>
      <c r="C251" s="8">
        <v>1</v>
      </c>
      <c r="D251" s="8" t="s">
        <v>644</v>
      </c>
      <c r="E251" s="8">
        <v>243</v>
      </c>
      <c r="F251" s="8"/>
      <c r="G251" s="11"/>
      <c r="H251" s="5">
        <v>50212500</v>
      </c>
      <c r="I251" s="5">
        <v>6695000</v>
      </c>
      <c r="J251" s="5">
        <v>0</v>
      </c>
      <c r="K251" s="6">
        <f t="shared" si="12"/>
        <v>50212500</v>
      </c>
      <c r="L251" s="1">
        <f t="shared" si="13"/>
        <v>0</v>
      </c>
      <c r="M251" s="12">
        <v>0</v>
      </c>
      <c r="N251" s="5"/>
      <c r="O251" s="9"/>
    </row>
    <row r="252" spans="1:15" ht="60" x14ac:dyDescent="0.25">
      <c r="A252" s="7" t="s">
        <v>131</v>
      </c>
      <c r="B252" s="8">
        <v>1128431117</v>
      </c>
      <c r="C252" s="8">
        <v>8</v>
      </c>
      <c r="D252" s="8" t="s">
        <v>645</v>
      </c>
      <c r="E252" s="8">
        <v>244</v>
      </c>
      <c r="F252" s="10">
        <v>45793</v>
      </c>
      <c r="G252" s="11">
        <v>46022</v>
      </c>
      <c r="H252" s="5">
        <v>28057200</v>
      </c>
      <c r="I252" s="5">
        <v>3708000</v>
      </c>
      <c r="J252" s="5">
        <f>1854000+I252</f>
        <v>5562000</v>
      </c>
      <c r="K252" s="6">
        <f t="shared" si="12"/>
        <v>22495200</v>
      </c>
      <c r="L252" s="1">
        <f t="shared" si="13"/>
        <v>0.19823788546255505</v>
      </c>
      <c r="M252" s="12">
        <v>0</v>
      </c>
      <c r="N252" s="5"/>
      <c r="O252" s="9"/>
    </row>
    <row r="253" spans="1:15" ht="60" x14ac:dyDescent="0.25">
      <c r="A253" s="7" t="s">
        <v>123</v>
      </c>
      <c r="B253" s="8">
        <v>52708089</v>
      </c>
      <c r="C253" s="8">
        <v>4</v>
      </c>
      <c r="D253" s="8" t="s">
        <v>646</v>
      </c>
      <c r="E253" s="8">
        <v>245</v>
      </c>
      <c r="F253" s="10">
        <v>45791</v>
      </c>
      <c r="G253" s="11">
        <v>46022</v>
      </c>
      <c r="H253" s="5">
        <v>66246167</v>
      </c>
      <c r="I253" s="5">
        <v>8755000</v>
      </c>
      <c r="J253" s="5">
        <f>4961167+I253</f>
        <v>13716167</v>
      </c>
      <c r="K253" s="6">
        <f t="shared" si="12"/>
        <v>52530000</v>
      </c>
      <c r="L253" s="1">
        <f t="shared" si="13"/>
        <v>0.20704846213970385</v>
      </c>
      <c r="M253" s="12">
        <v>0</v>
      </c>
      <c r="N253" s="5"/>
      <c r="O253" s="9"/>
    </row>
    <row r="254" spans="1:15" ht="75" x14ac:dyDescent="0.25">
      <c r="A254" s="7" t="s">
        <v>714</v>
      </c>
      <c r="B254" s="8">
        <v>1024594179</v>
      </c>
      <c r="C254" s="8">
        <v>6</v>
      </c>
      <c r="D254" s="8" t="s">
        <v>647</v>
      </c>
      <c r="E254" s="8">
        <v>246</v>
      </c>
      <c r="F254" s="10">
        <v>45791</v>
      </c>
      <c r="G254" s="11">
        <v>46014</v>
      </c>
      <c r="H254" s="5">
        <v>27192000</v>
      </c>
      <c r="I254" s="5">
        <v>3708000</v>
      </c>
      <c r="J254" s="5">
        <f>2101200+I254</f>
        <v>5809200</v>
      </c>
      <c r="K254" s="6">
        <f t="shared" si="12"/>
        <v>21382800</v>
      </c>
      <c r="L254" s="1">
        <f t="shared" si="13"/>
        <v>0.21363636363636362</v>
      </c>
      <c r="M254" s="12">
        <v>0</v>
      </c>
      <c r="N254" s="5"/>
      <c r="O254" s="9"/>
    </row>
    <row r="255" spans="1:15" ht="45" x14ac:dyDescent="0.25">
      <c r="A255" s="45" t="s">
        <v>287</v>
      </c>
      <c r="B255" s="8">
        <v>32144118</v>
      </c>
      <c r="C255" s="8">
        <v>5</v>
      </c>
      <c r="D255" s="8" t="s">
        <v>648</v>
      </c>
      <c r="E255" s="8">
        <v>247</v>
      </c>
      <c r="F255" s="10">
        <v>45798</v>
      </c>
      <c r="G255" s="11">
        <v>46022</v>
      </c>
      <c r="H255" s="5">
        <v>65662500</v>
      </c>
      <c r="I255" s="5">
        <v>8755000</v>
      </c>
      <c r="J255" s="5">
        <f>2918333+I255</f>
        <v>11673333</v>
      </c>
      <c r="K255" s="6">
        <f t="shared" ref="K255:K280" si="14">H255-J255</f>
        <v>53989167</v>
      </c>
      <c r="L255" s="1">
        <f t="shared" si="13"/>
        <v>0.17777777270131356</v>
      </c>
      <c r="M255" s="12">
        <v>0</v>
      </c>
      <c r="N255" s="5"/>
      <c r="O255" s="9"/>
    </row>
    <row r="256" spans="1:15" ht="120" x14ac:dyDescent="0.25">
      <c r="A256" s="8" t="s">
        <v>715</v>
      </c>
      <c r="B256" s="8">
        <v>80037198</v>
      </c>
      <c r="C256" s="8">
        <v>0</v>
      </c>
      <c r="D256" s="8" t="s">
        <v>649</v>
      </c>
      <c r="E256" s="8">
        <v>248</v>
      </c>
      <c r="F256" s="10">
        <v>45803</v>
      </c>
      <c r="G256" s="11">
        <v>46022</v>
      </c>
      <c r="H256" s="5">
        <v>47980833</v>
      </c>
      <c r="I256" s="5">
        <v>6695000</v>
      </c>
      <c r="J256" s="5">
        <f>1115833+I256</f>
        <v>7810833</v>
      </c>
      <c r="K256" s="6">
        <f t="shared" si="14"/>
        <v>40170000</v>
      </c>
      <c r="L256" s="1">
        <f t="shared" si="13"/>
        <v>0.16279069185814266</v>
      </c>
      <c r="M256" s="12">
        <v>0</v>
      </c>
      <c r="N256" s="5"/>
      <c r="O256" s="9"/>
    </row>
    <row r="257" spans="1:15" ht="75" x14ac:dyDescent="0.25">
      <c r="A257" s="8" t="s">
        <v>294</v>
      </c>
      <c r="B257" s="8">
        <v>1032462696</v>
      </c>
      <c r="C257" s="8">
        <v>5</v>
      </c>
      <c r="D257" s="8" t="s">
        <v>650</v>
      </c>
      <c r="E257" s="8">
        <v>249</v>
      </c>
      <c r="F257" s="10">
        <v>45793</v>
      </c>
      <c r="G257" s="11">
        <v>46022</v>
      </c>
      <c r="H257" s="5">
        <v>54075000</v>
      </c>
      <c r="I257" s="5">
        <v>7210000</v>
      </c>
      <c r="J257" s="5">
        <f>3605000+I257</f>
        <v>10815000</v>
      </c>
      <c r="K257" s="6">
        <f t="shared" si="14"/>
        <v>43260000</v>
      </c>
      <c r="L257" s="1">
        <f t="shared" si="13"/>
        <v>0.19999999999999996</v>
      </c>
      <c r="M257" s="12">
        <v>0</v>
      </c>
      <c r="N257" s="5"/>
      <c r="O257" s="9"/>
    </row>
    <row r="258" spans="1:15" ht="30" x14ac:dyDescent="0.25">
      <c r="A258" s="8" t="s">
        <v>716</v>
      </c>
      <c r="B258" s="8">
        <v>800028326</v>
      </c>
      <c r="C258" s="8">
        <v>1</v>
      </c>
      <c r="D258" s="8" t="s">
        <v>651</v>
      </c>
      <c r="E258" s="8">
        <v>250</v>
      </c>
      <c r="F258" s="8"/>
      <c r="G258" s="11">
        <v>46022</v>
      </c>
      <c r="H258" s="5">
        <v>73505900</v>
      </c>
      <c r="I258" s="5"/>
      <c r="J258" s="5">
        <v>0</v>
      </c>
      <c r="K258" s="6">
        <f t="shared" si="14"/>
        <v>73505900</v>
      </c>
      <c r="L258" s="1">
        <f t="shared" ref="L258:L281" si="15">1-(K258/H258)</f>
        <v>0</v>
      </c>
      <c r="M258" s="12">
        <v>0</v>
      </c>
      <c r="N258" s="5"/>
      <c r="O258" s="9"/>
    </row>
    <row r="259" spans="1:15" ht="90" x14ac:dyDescent="0.25">
      <c r="A259" s="8" t="s">
        <v>120</v>
      </c>
      <c r="B259" s="8">
        <v>72260721</v>
      </c>
      <c r="C259" s="8">
        <v>9</v>
      </c>
      <c r="D259" s="8" t="s">
        <v>652</v>
      </c>
      <c r="E259" s="8">
        <v>251</v>
      </c>
      <c r="F259" s="10">
        <v>45786</v>
      </c>
      <c r="G259" s="11">
        <v>46022</v>
      </c>
      <c r="H259" s="5">
        <v>64787000</v>
      </c>
      <c r="I259" s="5">
        <v>8755000</v>
      </c>
      <c r="J259" s="5">
        <f>3502000+I259</f>
        <v>12257000</v>
      </c>
      <c r="K259" s="6">
        <f t="shared" si="14"/>
        <v>52530000</v>
      </c>
      <c r="L259" s="1">
        <f t="shared" si="15"/>
        <v>0.18918918918918914</v>
      </c>
      <c r="M259" s="12">
        <v>0</v>
      </c>
      <c r="N259" s="5"/>
      <c r="O259" s="9"/>
    </row>
    <row r="260" spans="1:15" ht="60" x14ac:dyDescent="0.25">
      <c r="A260" s="8" t="s">
        <v>717</v>
      </c>
      <c r="B260" s="8">
        <v>52497228</v>
      </c>
      <c r="C260" s="8">
        <v>4</v>
      </c>
      <c r="D260" s="8" t="s">
        <v>653</v>
      </c>
      <c r="E260" s="8">
        <v>252</v>
      </c>
      <c r="F260" s="10">
        <v>45797</v>
      </c>
      <c r="G260" s="11">
        <v>46022</v>
      </c>
      <c r="H260" s="5">
        <v>41732167</v>
      </c>
      <c r="I260" s="5">
        <v>5665000</v>
      </c>
      <c r="J260" s="5">
        <f>2077167+I260</f>
        <v>7742167</v>
      </c>
      <c r="K260" s="6">
        <f t="shared" si="14"/>
        <v>33990000</v>
      </c>
      <c r="L260" s="1">
        <f t="shared" si="15"/>
        <v>0.18552036849656051</v>
      </c>
      <c r="M260" s="12">
        <v>0</v>
      </c>
      <c r="N260" s="5"/>
      <c r="O260" s="9"/>
    </row>
    <row r="261" spans="1:15" ht="60" x14ac:dyDescent="0.25">
      <c r="A261" s="8" t="s">
        <v>122</v>
      </c>
      <c r="B261" s="8">
        <v>1098821595</v>
      </c>
      <c r="C261" s="8">
        <v>0</v>
      </c>
      <c r="D261" s="8" t="s">
        <v>654</v>
      </c>
      <c r="E261" s="8">
        <v>253</v>
      </c>
      <c r="F261" s="10">
        <v>45796</v>
      </c>
      <c r="G261" s="11">
        <v>46022</v>
      </c>
      <c r="H261" s="5">
        <v>38110000</v>
      </c>
      <c r="I261" s="5">
        <v>5150000</v>
      </c>
      <c r="J261" s="5">
        <f>2060000+I261</f>
        <v>7210000</v>
      </c>
      <c r="K261" s="6">
        <f t="shared" si="14"/>
        <v>30900000</v>
      </c>
      <c r="L261" s="1">
        <f t="shared" si="15"/>
        <v>0.18918918918918914</v>
      </c>
      <c r="M261" s="12">
        <v>0</v>
      </c>
      <c r="N261" s="5"/>
      <c r="O261" s="9"/>
    </row>
    <row r="262" spans="1:15" ht="75" x14ac:dyDescent="0.25">
      <c r="A262" s="8" t="s">
        <v>718</v>
      </c>
      <c r="B262" s="8">
        <v>1010118528</v>
      </c>
      <c r="C262" s="8">
        <v>2</v>
      </c>
      <c r="D262" s="8" t="s">
        <v>655</v>
      </c>
      <c r="E262" s="8">
        <v>254</v>
      </c>
      <c r="F262" s="10">
        <v>45800</v>
      </c>
      <c r="G262" s="11">
        <v>46022</v>
      </c>
      <c r="H262" s="5">
        <v>41165667</v>
      </c>
      <c r="I262" s="5">
        <v>5665000</v>
      </c>
      <c r="J262" s="5">
        <f>1510667+I262</f>
        <v>7175667</v>
      </c>
      <c r="K262" s="6">
        <f t="shared" si="14"/>
        <v>33990000</v>
      </c>
      <c r="L262" s="1">
        <f t="shared" si="15"/>
        <v>0.17431193329140038</v>
      </c>
      <c r="M262" s="12">
        <v>0</v>
      </c>
      <c r="N262" s="5"/>
      <c r="O262" s="9"/>
    </row>
    <row r="263" spans="1:15" ht="120" x14ac:dyDescent="0.25">
      <c r="A263" s="8" t="s">
        <v>719</v>
      </c>
      <c r="B263" s="8">
        <v>7572264</v>
      </c>
      <c r="C263" s="8">
        <v>7</v>
      </c>
      <c r="D263" s="8" t="s">
        <v>656</v>
      </c>
      <c r="E263" s="8">
        <v>255</v>
      </c>
      <c r="F263" s="10">
        <v>45799</v>
      </c>
      <c r="G263" s="11">
        <v>46022</v>
      </c>
      <c r="H263" s="5">
        <v>52633000</v>
      </c>
      <c r="I263" s="5">
        <v>7210000</v>
      </c>
      <c r="J263" s="5">
        <f>2163000+I263</f>
        <v>9373000</v>
      </c>
      <c r="K263" s="6">
        <f t="shared" si="14"/>
        <v>43260000</v>
      </c>
      <c r="L263" s="1">
        <f t="shared" si="15"/>
        <v>0.17808219178082196</v>
      </c>
      <c r="M263" s="12">
        <v>0</v>
      </c>
      <c r="N263" s="5"/>
      <c r="O263" s="9"/>
    </row>
    <row r="264" spans="1:15" ht="105" x14ac:dyDescent="0.25">
      <c r="A264" s="8" t="s">
        <v>720</v>
      </c>
      <c r="B264" s="8">
        <v>51882490</v>
      </c>
      <c r="C264" s="8">
        <v>5</v>
      </c>
      <c r="D264" s="8" t="s">
        <v>657</v>
      </c>
      <c r="E264" s="8">
        <v>256</v>
      </c>
      <c r="F264" s="10">
        <v>45800</v>
      </c>
      <c r="G264" s="11">
        <v>46022</v>
      </c>
      <c r="H264" s="5">
        <v>68422900</v>
      </c>
      <c r="I264" s="5">
        <v>9373000</v>
      </c>
      <c r="J264" s="5">
        <f>2499467+9373000</f>
        <v>11872467</v>
      </c>
      <c r="K264" s="6">
        <f t="shared" si="14"/>
        <v>56550433</v>
      </c>
      <c r="L264" s="1">
        <f t="shared" si="15"/>
        <v>0.1735159866068231</v>
      </c>
      <c r="M264" s="12">
        <v>0</v>
      </c>
      <c r="N264" s="5"/>
      <c r="O264" s="9"/>
    </row>
    <row r="265" spans="1:15" x14ac:dyDescent="0.25">
      <c r="A265" s="8" t="s">
        <v>721</v>
      </c>
      <c r="B265" s="8"/>
      <c r="C265" s="8"/>
      <c r="D265" s="8"/>
      <c r="E265" s="8">
        <v>257</v>
      </c>
      <c r="F265" s="8"/>
      <c r="G265" s="11"/>
      <c r="H265" s="5"/>
      <c r="I265" s="5"/>
      <c r="J265" s="5">
        <v>0</v>
      </c>
      <c r="K265" s="6">
        <f t="shared" si="14"/>
        <v>0</v>
      </c>
      <c r="L265" s="1" t="e">
        <f t="shared" si="15"/>
        <v>#DIV/0!</v>
      </c>
      <c r="M265" s="12">
        <v>0</v>
      </c>
      <c r="N265" s="5"/>
      <c r="O265" s="9"/>
    </row>
    <row r="266" spans="1:15" ht="105" x14ac:dyDescent="0.25">
      <c r="A266" s="8" t="s">
        <v>722</v>
      </c>
      <c r="B266" s="8">
        <v>1121335640</v>
      </c>
      <c r="C266" s="8">
        <v>2</v>
      </c>
      <c r="D266" s="8" t="s">
        <v>658</v>
      </c>
      <c r="E266" s="8">
        <v>258</v>
      </c>
      <c r="F266" s="10">
        <v>45800</v>
      </c>
      <c r="G266" s="11">
        <v>46022</v>
      </c>
      <c r="H266" s="5">
        <v>33990000</v>
      </c>
      <c r="I266" s="5">
        <v>4635000</v>
      </c>
      <c r="J266" s="5">
        <f>1236000+4635000</f>
        <v>5871000</v>
      </c>
      <c r="K266" s="6">
        <f t="shared" si="14"/>
        <v>28119000</v>
      </c>
      <c r="L266" s="1">
        <f t="shared" si="15"/>
        <v>0.17272727272727273</v>
      </c>
      <c r="M266" s="12">
        <v>0</v>
      </c>
      <c r="N266" s="5"/>
      <c r="O266" s="9"/>
    </row>
    <row r="267" spans="1:15" ht="135" x14ac:dyDescent="0.25">
      <c r="A267" s="8" t="s">
        <v>723</v>
      </c>
      <c r="B267" s="8">
        <v>1119840777</v>
      </c>
      <c r="C267" s="8">
        <v>0</v>
      </c>
      <c r="D267" s="8" t="s">
        <v>659</v>
      </c>
      <c r="E267" s="8">
        <v>259</v>
      </c>
      <c r="F267" s="10">
        <v>45800</v>
      </c>
      <c r="G267" s="11">
        <v>46022</v>
      </c>
      <c r="H267" s="5">
        <v>33681000</v>
      </c>
      <c r="I267" s="5">
        <v>4635000</v>
      </c>
      <c r="J267" s="5">
        <f>1236000+4635000</f>
        <v>5871000</v>
      </c>
      <c r="K267" s="6">
        <f t="shared" si="14"/>
        <v>27810000</v>
      </c>
      <c r="L267" s="1">
        <f t="shared" si="15"/>
        <v>0.17431192660550454</v>
      </c>
      <c r="M267" s="12">
        <v>0</v>
      </c>
      <c r="N267" s="5"/>
      <c r="O267" s="9"/>
    </row>
    <row r="268" spans="1:15" ht="60" x14ac:dyDescent="0.25">
      <c r="A268" s="8" t="s">
        <v>724</v>
      </c>
      <c r="B268" s="8">
        <v>1066181626</v>
      </c>
      <c r="C268" s="8">
        <v>9</v>
      </c>
      <c r="D268" s="8" t="s">
        <v>660</v>
      </c>
      <c r="E268" s="8">
        <v>260</v>
      </c>
      <c r="F268" s="10">
        <v>45800</v>
      </c>
      <c r="G268" s="11">
        <v>45965</v>
      </c>
      <c r="H268" s="5">
        <v>44770666</v>
      </c>
      <c r="I268" s="5">
        <v>8240000</v>
      </c>
      <c r="J268" s="5">
        <f>2197333+8240000</f>
        <v>10437333</v>
      </c>
      <c r="K268" s="6">
        <f t="shared" si="14"/>
        <v>34333333</v>
      </c>
      <c r="L268" s="1">
        <f t="shared" si="15"/>
        <v>0.23312883038192911</v>
      </c>
      <c r="M268" s="12">
        <v>0</v>
      </c>
      <c r="N268" s="5"/>
      <c r="O268" s="9"/>
    </row>
    <row r="269" spans="1:15" ht="75" x14ac:dyDescent="0.25">
      <c r="A269" s="8" t="s">
        <v>725</v>
      </c>
      <c r="B269" s="8">
        <v>77013659</v>
      </c>
      <c r="C269" s="8">
        <v>1</v>
      </c>
      <c r="D269" s="8" t="s">
        <v>661</v>
      </c>
      <c r="E269" s="8">
        <v>261</v>
      </c>
      <c r="F269" s="10">
        <v>45800</v>
      </c>
      <c r="G269" s="11">
        <v>46022</v>
      </c>
      <c r="H269" s="5">
        <v>68110467</v>
      </c>
      <c r="I269" s="5">
        <v>9373000</v>
      </c>
      <c r="J269" s="5">
        <f>2499467+9373000</f>
        <v>11872467</v>
      </c>
      <c r="K269" s="6">
        <f t="shared" si="14"/>
        <v>56238000</v>
      </c>
      <c r="L269" s="1">
        <f t="shared" si="15"/>
        <v>0.17431193064643058</v>
      </c>
      <c r="M269" s="12">
        <v>0</v>
      </c>
      <c r="N269" s="5"/>
      <c r="O269" s="9"/>
    </row>
    <row r="270" spans="1:15" ht="75" x14ac:dyDescent="0.25">
      <c r="A270" s="8" t="s">
        <v>726</v>
      </c>
      <c r="B270" s="8">
        <v>52996334</v>
      </c>
      <c r="C270" s="8">
        <v>8</v>
      </c>
      <c r="D270" s="8" t="s">
        <v>662</v>
      </c>
      <c r="E270" s="8">
        <v>262</v>
      </c>
      <c r="F270" s="10">
        <v>45800</v>
      </c>
      <c r="G270" s="11">
        <v>46022</v>
      </c>
      <c r="H270" s="5">
        <v>59877333</v>
      </c>
      <c r="I270" s="5">
        <v>8240000</v>
      </c>
      <c r="J270" s="5">
        <f>2197333+8240000</f>
        <v>10437333</v>
      </c>
      <c r="K270" s="6">
        <f t="shared" si="14"/>
        <v>49440000</v>
      </c>
      <c r="L270" s="1">
        <f t="shared" si="15"/>
        <v>0.17431192200895118</v>
      </c>
      <c r="M270" s="12">
        <v>0</v>
      </c>
      <c r="N270" s="5"/>
      <c r="O270" s="9"/>
    </row>
    <row r="271" spans="1:15" ht="60" x14ac:dyDescent="0.25">
      <c r="A271" s="8" t="s">
        <v>727</v>
      </c>
      <c r="B271" s="8">
        <v>1110462090</v>
      </c>
      <c r="C271" s="8">
        <v>5</v>
      </c>
      <c r="D271" s="8" t="s">
        <v>663</v>
      </c>
      <c r="E271" s="8">
        <v>263</v>
      </c>
      <c r="F271" s="10">
        <v>45800</v>
      </c>
      <c r="G271" s="11">
        <v>46022</v>
      </c>
      <c r="H271" s="5">
        <v>63619667</v>
      </c>
      <c r="I271" s="5">
        <v>8755000</v>
      </c>
      <c r="J271" s="5">
        <f>2334667+8755000</f>
        <v>11089667</v>
      </c>
      <c r="K271" s="6">
        <f>H271-J271</f>
        <v>52530000</v>
      </c>
      <c r="L271" s="1">
        <f t="shared" si="15"/>
        <v>0.17431193093167241</v>
      </c>
      <c r="M271" s="12">
        <v>0</v>
      </c>
      <c r="N271" s="5"/>
      <c r="O271" s="9"/>
    </row>
    <row r="272" spans="1:15" ht="60" x14ac:dyDescent="0.25">
      <c r="A272" s="8" t="s">
        <v>728</v>
      </c>
      <c r="B272" s="8">
        <v>1121334308</v>
      </c>
      <c r="C272" s="8">
        <v>7</v>
      </c>
      <c r="D272" s="8" t="s">
        <v>664</v>
      </c>
      <c r="E272" s="8">
        <v>264</v>
      </c>
      <c r="F272" s="10">
        <v>45804</v>
      </c>
      <c r="G272" s="11">
        <v>46022</v>
      </c>
      <c r="H272" s="5">
        <v>28654600</v>
      </c>
      <c r="I272" s="5">
        <v>4017000</v>
      </c>
      <c r="J272" s="5">
        <f>535600+4017000</f>
        <v>4552600</v>
      </c>
      <c r="K272" s="6">
        <f>H272-J272</f>
        <v>24102000</v>
      </c>
      <c r="L272" s="1">
        <f t="shared" si="15"/>
        <v>0.15887850467289721</v>
      </c>
      <c r="M272" s="12">
        <v>0</v>
      </c>
      <c r="N272" s="5"/>
      <c r="O272" s="9"/>
    </row>
    <row r="273" spans="1:15" ht="36" customHeight="1" x14ac:dyDescent="0.25">
      <c r="A273" s="8" t="s">
        <v>159</v>
      </c>
      <c r="B273" s="46">
        <v>1143425034</v>
      </c>
      <c r="C273" s="42">
        <v>5</v>
      </c>
      <c r="D273" s="42" t="s">
        <v>730</v>
      </c>
      <c r="E273" s="8">
        <v>266</v>
      </c>
      <c r="F273" s="47">
        <v>45804</v>
      </c>
      <c r="G273" s="47">
        <v>46022</v>
      </c>
      <c r="H273" s="48">
        <v>66860733</v>
      </c>
      <c r="I273" s="48">
        <v>9373000</v>
      </c>
      <c r="J273" s="5">
        <f>1249733+9373000</f>
        <v>10622733</v>
      </c>
      <c r="K273" s="35">
        <f>H273-J273</f>
        <v>56238000</v>
      </c>
      <c r="L273" s="1">
        <f t="shared" si="15"/>
        <v>0.1588785004794967</v>
      </c>
      <c r="M273" s="12">
        <v>0</v>
      </c>
      <c r="N273" s="5"/>
      <c r="O273" s="9"/>
    </row>
    <row r="274" spans="1:15" ht="46.5" customHeight="1" x14ac:dyDescent="0.25">
      <c r="A274" s="8" t="s">
        <v>489</v>
      </c>
      <c r="B274" s="49">
        <v>63514972</v>
      </c>
      <c r="C274" s="42">
        <v>1</v>
      </c>
      <c r="D274" s="42" t="s">
        <v>731</v>
      </c>
      <c r="E274" s="8">
        <v>267</v>
      </c>
      <c r="F274" s="50">
        <v>45804</v>
      </c>
      <c r="G274" s="50">
        <v>46022</v>
      </c>
      <c r="H274" s="48">
        <v>47757667</v>
      </c>
      <c r="I274" s="48">
        <v>6695000</v>
      </c>
      <c r="J274" s="5">
        <f>892667+6695000+I274</f>
        <v>14282667</v>
      </c>
      <c r="K274" s="6">
        <f t="shared" si="14"/>
        <v>33475000</v>
      </c>
      <c r="L274" s="1">
        <f t="shared" si="15"/>
        <v>0.29906542545304815</v>
      </c>
      <c r="M274" s="12">
        <v>0</v>
      </c>
      <c r="N274" s="5"/>
      <c r="O274" s="9"/>
    </row>
    <row r="275" spans="1:15" ht="46.5" customHeight="1" x14ac:dyDescent="0.25">
      <c r="A275" s="8" t="s">
        <v>803</v>
      </c>
      <c r="B275" s="55">
        <v>39578965</v>
      </c>
      <c r="C275" s="42">
        <v>5</v>
      </c>
      <c r="D275" s="42" t="s">
        <v>804</v>
      </c>
      <c r="E275" s="8">
        <v>269</v>
      </c>
      <c r="F275" s="28">
        <v>45804</v>
      </c>
      <c r="G275" s="28">
        <v>46017</v>
      </c>
      <c r="H275" s="48">
        <v>57680000</v>
      </c>
      <c r="I275" s="48">
        <v>8240000</v>
      </c>
      <c r="J275" s="5">
        <f>1098667+8240000</f>
        <v>9338667</v>
      </c>
      <c r="K275" s="6">
        <f t="shared" ref="K275" si="16">H275-J275</f>
        <v>48341333</v>
      </c>
      <c r="L275" s="1">
        <f t="shared" ref="L275" si="17">1-(K275/H275)</f>
        <v>0.16190476768377249</v>
      </c>
      <c r="M275" s="12"/>
      <c r="N275" s="5"/>
      <c r="O275" s="9"/>
    </row>
    <row r="276" spans="1:15" ht="90" x14ac:dyDescent="0.25">
      <c r="A276" s="42" t="s">
        <v>733</v>
      </c>
      <c r="B276" s="42">
        <v>32580133</v>
      </c>
      <c r="C276" s="42">
        <v>5</v>
      </c>
      <c r="D276" s="42" t="s">
        <v>732</v>
      </c>
      <c r="E276" s="8">
        <v>270</v>
      </c>
      <c r="F276" s="28">
        <v>45805</v>
      </c>
      <c r="G276" s="28">
        <v>46022</v>
      </c>
      <c r="H276" s="48">
        <v>43878000</v>
      </c>
      <c r="I276" s="48">
        <v>6180000</v>
      </c>
      <c r="J276" s="5">
        <f>6180000+I276</f>
        <v>12360000</v>
      </c>
      <c r="K276" s="6">
        <f t="shared" si="14"/>
        <v>31518000</v>
      </c>
      <c r="L276" s="1">
        <f t="shared" si="15"/>
        <v>0.28169014084507038</v>
      </c>
      <c r="M276" s="12">
        <v>0</v>
      </c>
      <c r="N276" s="5"/>
      <c r="O276" s="9"/>
    </row>
    <row r="277" spans="1:15" ht="75" x14ac:dyDescent="0.25">
      <c r="A277" s="42" t="s">
        <v>797</v>
      </c>
      <c r="B277" s="42">
        <v>1063135376</v>
      </c>
      <c r="C277" s="42">
        <v>4</v>
      </c>
      <c r="D277" s="42" t="s">
        <v>800</v>
      </c>
      <c r="E277" s="8">
        <v>271</v>
      </c>
      <c r="F277" s="28">
        <v>45806</v>
      </c>
      <c r="G277" s="28">
        <v>46021</v>
      </c>
      <c r="H277" s="48">
        <v>61285000</v>
      </c>
      <c r="I277" s="48">
        <v>8755000</v>
      </c>
      <c r="J277" s="5">
        <v>8755000</v>
      </c>
      <c r="K277" s="6">
        <f t="shared" ref="K277:K279" si="18">H277-J277</f>
        <v>52530000</v>
      </c>
      <c r="L277" s="1">
        <f t="shared" ref="L277:L279" si="19">1-(K277/H277)</f>
        <v>0.1428571428571429</v>
      </c>
      <c r="M277" s="12">
        <v>0</v>
      </c>
      <c r="N277" s="5"/>
      <c r="O277" s="9"/>
    </row>
    <row r="278" spans="1:15" ht="75" x14ac:dyDescent="0.25">
      <c r="A278" s="42" t="s">
        <v>798</v>
      </c>
      <c r="B278" s="42">
        <v>1022432970</v>
      </c>
      <c r="C278" s="42">
        <v>4</v>
      </c>
      <c r="D278" s="42" t="s">
        <v>801</v>
      </c>
      <c r="E278" s="8">
        <v>272</v>
      </c>
      <c r="F278" s="28">
        <v>45806</v>
      </c>
      <c r="G278" s="28">
        <v>46022</v>
      </c>
      <c r="H278" s="48">
        <v>26203200</v>
      </c>
      <c r="I278" s="48">
        <v>3708000</v>
      </c>
      <c r="J278" s="5">
        <f>3708000+247200</f>
        <v>3955200</v>
      </c>
      <c r="K278" s="6">
        <f t="shared" si="18"/>
        <v>22248000</v>
      </c>
      <c r="L278" s="1">
        <f t="shared" si="19"/>
        <v>0.15094339622641506</v>
      </c>
      <c r="M278" s="12">
        <v>0</v>
      </c>
      <c r="N278" s="5"/>
      <c r="O278" s="9"/>
    </row>
    <row r="279" spans="1:15" ht="75" x14ac:dyDescent="0.25">
      <c r="A279" s="42" t="s">
        <v>799</v>
      </c>
      <c r="B279" s="42">
        <v>19476707</v>
      </c>
      <c r="C279" s="42">
        <v>0</v>
      </c>
      <c r="D279" s="42" t="s">
        <v>802</v>
      </c>
      <c r="E279" s="8">
        <v>273</v>
      </c>
      <c r="F279" s="28">
        <v>45807</v>
      </c>
      <c r="G279" s="28">
        <v>46022</v>
      </c>
      <c r="H279" s="48">
        <v>61868667</v>
      </c>
      <c r="I279" s="48">
        <v>8755000</v>
      </c>
      <c r="J279" s="5">
        <f>291833</f>
        <v>291833</v>
      </c>
      <c r="K279" s="6">
        <f t="shared" si="18"/>
        <v>61576834</v>
      </c>
      <c r="L279" s="1">
        <f t="shared" si="19"/>
        <v>4.7169757189047257E-3</v>
      </c>
      <c r="M279" s="12">
        <v>0</v>
      </c>
      <c r="N279" s="5"/>
      <c r="O279" s="9"/>
    </row>
    <row r="280" spans="1:15" ht="60" x14ac:dyDescent="0.25">
      <c r="A280" s="42" t="s">
        <v>135</v>
      </c>
      <c r="B280" s="42">
        <v>1024600527</v>
      </c>
      <c r="C280" s="42">
        <v>2</v>
      </c>
      <c r="D280" s="42" t="s">
        <v>734</v>
      </c>
      <c r="E280" s="8">
        <v>274</v>
      </c>
      <c r="F280" s="28">
        <v>45806</v>
      </c>
      <c r="G280" s="28">
        <v>46022</v>
      </c>
      <c r="H280" s="48">
        <v>23320000</v>
      </c>
      <c r="I280" s="48">
        <v>3300000</v>
      </c>
      <c r="J280" s="5">
        <f>220000+3300000</f>
        <v>3520000</v>
      </c>
      <c r="K280" s="6">
        <f t="shared" si="14"/>
        <v>19800000</v>
      </c>
      <c r="L280" s="1">
        <f t="shared" si="15"/>
        <v>0.15094339622641506</v>
      </c>
      <c r="M280" s="12">
        <v>0</v>
      </c>
      <c r="N280" s="5"/>
      <c r="O280" s="9"/>
    </row>
    <row r="281" spans="1:15" ht="60" x14ac:dyDescent="0.25">
      <c r="A281" s="42" t="s">
        <v>113</v>
      </c>
      <c r="B281" s="42">
        <v>1030700108</v>
      </c>
      <c r="C281" s="42">
        <v>0</v>
      </c>
      <c r="D281" s="42" t="s">
        <v>735</v>
      </c>
      <c r="E281" s="8">
        <v>275</v>
      </c>
      <c r="F281" s="28">
        <v>45806</v>
      </c>
      <c r="G281" s="28">
        <v>46022</v>
      </c>
      <c r="H281" s="48">
        <v>23320000</v>
      </c>
      <c r="I281" s="48">
        <v>3300000</v>
      </c>
      <c r="J281" s="5">
        <v>3300000</v>
      </c>
      <c r="K281" s="35">
        <f>H281-J281</f>
        <v>20020000</v>
      </c>
      <c r="L281" s="1">
        <f t="shared" si="15"/>
        <v>0.14150943396226412</v>
      </c>
      <c r="M281" s="12">
        <v>0</v>
      </c>
      <c r="N281" s="5"/>
      <c r="O281" s="9"/>
    </row>
    <row r="282" spans="1:15" ht="60" x14ac:dyDescent="0.25">
      <c r="A282" s="8" t="s">
        <v>125</v>
      </c>
      <c r="B282" s="8">
        <v>1100950750</v>
      </c>
      <c r="C282" s="8">
        <v>5</v>
      </c>
      <c r="D282" s="8" t="s">
        <v>742</v>
      </c>
      <c r="E282" s="8">
        <v>276</v>
      </c>
      <c r="F282" s="10">
        <v>45811</v>
      </c>
      <c r="G282" s="10">
        <v>46022</v>
      </c>
      <c r="H282" s="51">
        <v>53560000</v>
      </c>
      <c r="I282" s="51">
        <v>7725000</v>
      </c>
      <c r="J282" s="5">
        <v>7210000</v>
      </c>
      <c r="K282" s="53">
        <f t="shared" ref="K282:K315" si="20">H282-J282</f>
        <v>46350000</v>
      </c>
      <c r="L282" s="54">
        <f t="shared" ref="L282:L315" si="21">1-(K282/H282)</f>
        <v>0.13461538461538458</v>
      </c>
      <c r="M282" s="12">
        <v>0</v>
      </c>
      <c r="N282" s="52"/>
      <c r="O282" s="9"/>
    </row>
    <row r="283" spans="1:15" ht="75" x14ac:dyDescent="0.25">
      <c r="A283" s="8" t="s">
        <v>774</v>
      </c>
      <c r="B283" s="8">
        <v>1031120873</v>
      </c>
      <c r="C283" s="8">
        <v>1</v>
      </c>
      <c r="D283" s="8" t="s">
        <v>743</v>
      </c>
      <c r="E283" s="8">
        <v>277</v>
      </c>
      <c r="F283" s="10">
        <v>45811</v>
      </c>
      <c r="G283" s="10">
        <v>46022</v>
      </c>
      <c r="H283" s="51">
        <v>13211467</v>
      </c>
      <c r="I283" s="51">
        <v>1905500</v>
      </c>
      <c r="J283" s="52">
        <v>1778467</v>
      </c>
      <c r="K283" s="53">
        <f t="shared" si="20"/>
        <v>11433000</v>
      </c>
      <c r="L283" s="54">
        <f t="shared" si="21"/>
        <v>0.13461540644956382</v>
      </c>
      <c r="M283" s="12">
        <v>0</v>
      </c>
      <c r="N283" s="52"/>
      <c r="O283" s="9"/>
    </row>
    <row r="284" spans="1:15" ht="90" x14ac:dyDescent="0.25">
      <c r="A284" s="8" t="s">
        <v>775</v>
      </c>
      <c r="B284" s="8">
        <v>79973698</v>
      </c>
      <c r="C284" s="8">
        <v>2</v>
      </c>
      <c r="D284" s="8" t="s">
        <v>744</v>
      </c>
      <c r="E284" s="8">
        <v>278</v>
      </c>
      <c r="F284" s="10">
        <v>45811</v>
      </c>
      <c r="G284" s="10">
        <v>46022</v>
      </c>
      <c r="H284" s="51">
        <v>49989333</v>
      </c>
      <c r="I284" s="51">
        <v>7210000</v>
      </c>
      <c r="J284" s="52">
        <v>6729333</v>
      </c>
      <c r="K284" s="53">
        <f t="shared" si="20"/>
        <v>43260000</v>
      </c>
      <c r="L284" s="54">
        <f t="shared" si="21"/>
        <v>0.13461537884492281</v>
      </c>
      <c r="M284" s="12">
        <v>0</v>
      </c>
      <c r="N284" s="52"/>
      <c r="O284" s="9"/>
    </row>
    <row r="285" spans="1:15" ht="75" x14ac:dyDescent="0.25">
      <c r="A285" s="8" t="s">
        <v>776</v>
      </c>
      <c r="B285" s="8">
        <v>79784692</v>
      </c>
      <c r="C285" s="8">
        <v>8</v>
      </c>
      <c r="D285" s="8" t="s">
        <v>745</v>
      </c>
      <c r="E285" s="8">
        <v>279</v>
      </c>
      <c r="F285" s="10">
        <v>45811</v>
      </c>
      <c r="G285" s="10">
        <v>46022</v>
      </c>
      <c r="H285" s="51">
        <v>46418667</v>
      </c>
      <c r="I285" s="51">
        <v>6695000</v>
      </c>
      <c r="J285" s="52">
        <v>6248667</v>
      </c>
      <c r="K285" s="53">
        <f t="shared" si="20"/>
        <v>40170000</v>
      </c>
      <c r="L285" s="54">
        <f t="shared" si="21"/>
        <v>0.13461539082972807</v>
      </c>
      <c r="M285" s="12">
        <v>0</v>
      </c>
      <c r="N285" s="52"/>
      <c r="O285" s="9"/>
    </row>
    <row r="286" spans="1:15" ht="75" x14ac:dyDescent="0.25">
      <c r="A286" s="8" t="s">
        <v>777</v>
      </c>
      <c r="B286" s="8">
        <v>1030656140</v>
      </c>
      <c r="C286" s="8">
        <v>9</v>
      </c>
      <c r="D286" s="8" t="s">
        <v>746</v>
      </c>
      <c r="E286" s="8">
        <v>280</v>
      </c>
      <c r="F286" s="10">
        <v>45811</v>
      </c>
      <c r="G286" s="10">
        <v>46022</v>
      </c>
      <c r="H286" s="51">
        <v>46418667</v>
      </c>
      <c r="I286" s="51">
        <v>6695000</v>
      </c>
      <c r="J286" s="52">
        <v>6248667</v>
      </c>
      <c r="K286" s="53">
        <f t="shared" si="20"/>
        <v>40170000</v>
      </c>
      <c r="L286" s="54">
        <f t="shared" si="21"/>
        <v>0.13461539082972807</v>
      </c>
      <c r="M286" s="12">
        <v>0</v>
      </c>
      <c r="N286" s="52"/>
      <c r="O286" s="9"/>
    </row>
    <row r="287" spans="1:15" ht="90" x14ac:dyDescent="0.25">
      <c r="A287" s="8" t="s">
        <v>778</v>
      </c>
      <c r="B287" s="8">
        <v>79590490</v>
      </c>
      <c r="C287" s="8">
        <v>3</v>
      </c>
      <c r="D287" s="8" t="s">
        <v>747</v>
      </c>
      <c r="E287" s="8">
        <v>281</v>
      </c>
      <c r="F287" s="10">
        <v>45811</v>
      </c>
      <c r="G287" s="10">
        <v>46022</v>
      </c>
      <c r="H287" s="51">
        <v>46418667</v>
      </c>
      <c r="I287" s="51">
        <v>6695000</v>
      </c>
      <c r="J287" s="52">
        <v>624866700</v>
      </c>
      <c r="K287" s="53">
        <f t="shared" si="20"/>
        <v>-578448033</v>
      </c>
      <c r="L287" s="54">
        <f t="shared" si="21"/>
        <v>13.461539082972806</v>
      </c>
      <c r="M287" s="12">
        <v>0</v>
      </c>
      <c r="N287" s="52"/>
      <c r="O287" s="9"/>
    </row>
    <row r="288" spans="1:15" ht="60" x14ac:dyDescent="0.25">
      <c r="A288" s="8" t="s">
        <v>779</v>
      </c>
      <c r="B288" s="8">
        <v>80749954</v>
      </c>
      <c r="C288" s="8">
        <v>8</v>
      </c>
      <c r="D288" s="8" t="s">
        <v>748</v>
      </c>
      <c r="E288" s="8">
        <v>282</v>
      </c>
      <c r="F288" s="10">
        <v>45811</v>
      </c>
      <c r="G288" s="10">
        <v>46022</v>
      </c>
      <c r="H288" s="51">
        <v>60701333</v>
      </c>
      <c r="I288" s="51">
        <v>8755000</v>
      </c>
      <c r="J288" s="52">
        <v>8171333</v>
      </c>
      <c r="K288" s="53">
        <f t="shared" si="20"/>
        <v>52530000</v>
      </c>
      <c r="L288" s="54">
        <f t="shared" si="21"/>
        <v>0.13461537986323957</v>
      </c>
      <c r="M288" s="12">
        <v>0</v>
      </c>
      <c r="N288" s="52"/>
      <c r="O288" s="9"/>
    </row>
    <row r="289" spans="1:15" ht="45" x14ac:dyDescent="0.25">
      <c r="A289" s="8" t="s">
        <v>780</v>
      </c>
      <c r="B289" s="8">
        <v>830101111</v>
      </c>
      <c r="C289" s="8">
        <v>4</v>
      </c>
      <c r="D289" s="8" t="s">
        <v>749</v>
      </c>
      <c r="E289" s="8">
        <v>283</v>
      </c>
      <c r="F289" s="10">
        <v>45814</v>
      </c>
      <c r="G289" s="10">
        <v>46022</v>
      </c>
      <c r="H289" s="51">
        <v>272422067</v>
      </c>
      <c r="I289" s="8"/>
      <c r="J289" s="52">
        <v>0</v>
      </c>
      <c r="K289" s="53">
        <f t="shared" si="20"/>
        <v>272422067</v>
      </c>
      <c r="L289" s="54">
        <f t="shared" si="21"/>
        <v>0</v>
      </c>
      <c r="M289" s="12">
        <v>0</v>
      </c>
      <c r="N289" s="52"/>
      <c r="O289" s="9"/>
    </row>
    <row r="290" spans="1:15" ht="75" x14ac:dyDescent="0.25">
      <c r="A290" s="8" t="s">
        <v>781</v>
      </c>
      <c r="B290" s="8">
        <v>52816943</v>
      </c>
      <c r="C290" s="8">
        <v>2</v>
      </c>
      <c r="D290" s="8" t="s">
        <v>750</v>
      </c>
      <c r="E290" s="8">
        <v>284</v>
      </c>
      <c r="F290" s="10">
        <v>45814</v>
      </c>
      <c r="G290" s="10">
        <v>46022</v>
      </c>
      <c r="H290" s="51">
        <v>56306667</v>
      </c>
      <c r="I290" s="51">
        <v>8240000</v>
      </c>
      <c r="J290" s="5">
        <v>6866667</v>
      </c>
      <c r="K290" s="53">
        <f t="shared" si="20"/>
        <v>49440000</v>
      </c>
      <c r="L290" s="54">
        <f t="shared" si="21"/>
        <v>0.12195122471021058</v>
      </c>
      <c r="M290" s="12">
        <v>0</v>
      </c>
      <c r="N290" s="52"/>
      <c r="O290" s="9"/>
    </row>
    <row r="291" spans="1:15" ht="105" x14ac:dyDescent="0.25">
      <c r="A291" s="8" t="s">
        <v>325</v>
      </c>
      <c r="B291" s="8">
        <v>1049640069</v>
      </c>
      <c r="C291" s="8">
        <v>2</v>
      </c>
      <c r="D291" s="8" t="s">
        <v>751</v>
      </c>
      <c r="E291" s="8">
        <v>285</v>
      </c>
      <c r="F291" s="10">
        <v>45814</v>
      </c>
      <c r="G291" s="10">
        <v>46022</v>
      </c>
      <c r="H291" s="51">
        <v>49268333</v>
      </c>
      <c r="I291" s="51">
        <v>72100000</v>
      </c>
      <c r="J291" s="5">
        <v>6008333</v>
      </c>
      <c r="K291" s="53">
        <f t="shared" si="20"/>
        <v>43260000</v>
      </c>
      <c r="L291" s="54">
        <f t="shared" si="21"/>
        <v>0.12195121357160588</v>
      </c>
      <c r="M291" s="12">
        <v>0</v>
      </c>
      <c r="N291" s="52"/>
      <c r="O291" s="9"/>
    </row>
    <row r="292" spans="1:15" ht="105" x14ac:dyDescent="0.25">
      <c r="A292" s="8" t="s">
        <v>324</v>
      </c>
      <c r="B292" s="8">
        <v>93356952</v>
      </c>
      <c r="C292" s="8">
        <v>3</v>
      </c>
      <c r="D292" s="8" t="s">
        <v>752</v>
      </c>
      <c r="E292" s="8">
        <v>286</v>
      </c>
      <c r="F292" s="10">
        <v>45814</v>
      </c>
      <c r="G292" s="10">
        <v>46022</v>
      </c>
      <c r="H292" s="51">
        <v>49268333</v>
      </c>
      <c r="I292" s="51">
        <v>72100000</v>
      </c>
      <c r="J292" s="52">
        <v>6008333</v>
      </c>
      <c r="K292" s="53">
        <f t="shared" si="20"/>
        <v>43260000</v>
      </c>
      <c r="L292" s="54">
        <f t="shared" si="21"/>
        <v>0.12195121357160588</v>
      </c>
      <c r="M292" s="12">
        <v>0</v>
      </c>
      <c r="N292" s="52"/>
      <c r="O292" s="9"/>
    </row>
    <row r="293" spans="1:15" ht="60" x14ac:dyDescent="0.25">
      <c r="A293" s="8" t="s">
        <v>158</v>
      </c>
      <c r="B293" s="8">
        <v>7170018</v>
      </c>
      <c r="C293" s="8">
        <v>6</v>
      </c>
      <c r="D293" s="8" t="s">
        <v>753</v>
      </c>
      <c r="E293" s="8">
        <v>287</v>
      </c>
      <c r="F293" s="10">
        <v>45818</v>
      </c>
      <c r="G293" s="10">
        <v>46022</v>
      </c>
      <c r="H293" s="51">
        <v>62799100</v>
      </c>
      <c r="I293" s="51">
        <v>9373000</v>
      </c>
      <c r="J293" s="52">
        <v>6561100</v>
      </c>
      <c r="K293" s="53">
        <f t="shared" si="20"/>
        <v>56238000</v>
      </c>
      <c r="L293" s="54">
        <f t="shared" si="21"/>
        <v>0.10447761194029848</v>
      </c>
      <c r="M293" s="12">
        <v>0</v>
      </c>
      <c r="N293" s="52"/>
      <c r="O293" s="9"/>
    </row>
    <row r="294" spans="1:15" ht="75" x14ac:dyDescent="0.25">
      <c r="A294" s="8" t="s">
        <v>782</v>
      </c>
      <c r="B294" s="8">
        <v>1121337728</v>
      </c>
      <c r="C294" s="8">
        <v>0</v>
      </c>
      <c r="D294" s="8" t="s">
        <v>754</v>
      </c>
      <c r="E294" s="8">
        <v>288</v>
      </c>
      <c r="F294" s="10">
        <v>45818</v>
      </c>
      <c r="G294" s="10">
        <v>46022</v>
      </c>
      <c r="H294" s="51">
        <v>26913900</v>
      </c>
      <c r="I294" s="51">
        <v>4017000</v>
      </c>
      <c r="J294" s="52">
        <v>0</v>
      </c>
      <c r="K294" s="53">
        <f t="shared" si="20"/>
        <v>26913900</v>
      </c>
      <c r="L294" s="54">
        <f t="shared" si="21"/>
        <v>0</v>
      </c>
      <c r="M294" s="12">
        <v>0</v>
      </c>
      <c r="N294" s="52"/>
      <c r="O294" s="9"/>
    </row>
    <row r="295" spans="1:15" ht="50.25" customHeight="1" x14ac:dyDescent="0.25">
      <c r="A295" s="8" t="s">
        <v>783</v>
      </c>
      <c r="B295" s="8">
        <v>8888679</v>
      </c>
      <c r="C295" s="8">
        <v>1</v>
      </c>
      <c r="D295" s="8" t="s">
        <v>755</v>
      </c>
      <c r="E295" s="8">
        <v>289</v>
      </c>
      <c r="F295" s="10">
        <v>45827</v>
      </c>
      <c r="G295" s="10">
        <v>45856</v>
      </c>
      <c r="H295" s="51">
        <v>39858000</v>
      </c>
      <c r="I295" s="8"/>
      <c r="J295" s="52">
        <v>0</v>
      </c>
      <c r="K295" s="53">
        <f t="shared" si="20"/>
        <v>39858000</v>
      </c>
      <c r="L295" s="54">
        <f t="shared" si="21"/>
        <v>0</v>
      </c>
      <c r="M295" s="12">
        <v>0</v>
      </c>
      <c r="N295" s="52"/>
      <c r="O295" s="9"/>
    </row>
    <row r="296" spans="1:15" ht="90" x14ac:dyDescent="0.25">
      <c r="A296" s="8" t="s">
        <v>784</v>
      </c>
      <c r="B296" s="8">
        <v>1089244839</v>
      </c>
      <c r="C296" s="8">
        <v>4</v>
      </c>
      <c r="D296" s="8" t="s">
        <v>756</v>
      </c>
      <c r="E296" s="8">
        <v>290</v>
      </c>
      <c r="F296" s="10">
        <v>45819</v>
      </c>
      <c r="G296" s="10">
        <v>46022</v>
      </c>
      <c r="H296" s="51">
        <v>44856500</v>
      </c>
      <c r="I296" s="51">
        <v>6695000</v>
      </c>
      <c r="J296" s="52">
        <v>4463333</v>
      </c>
      <c r="K296" s="53">
        <f t="shared" si="20"/>
        <v>40393167</v>
      </c>
      <c r="L296" s="54">
        <f t="shared" si="21"/>
        <v>9.9502480131084647E-2</v>
      </c>
      <c r="M296" s="12">
        <v>0</v>
      </c>
      <c r="N296" s="52"/>
      <c r="O296" s="9"/>
    </row>
    <row r="297" spans="1:15" ht="45" x14ac:dyDescent="0.25">
      <c r="A297" s="8" t="s">
        <v>785</v>
      </c>
      <c r="B297" s="8">
        <v>1121331993</v>
      </c>
      <c r="C297" s="8">
        <v>9</v>
      </c>
      <c r="D297" s="8" t="s">
        <v>757</v>
      </c>
      <c r="E297" s="8">
        <v>291</v>
      </c>
      <c r="F297" s="10">
        <v>45820</v>
      </c>
      <c r="G297" s="10">
        <v>46022</v>
      </c>
      <c r="H297" s="51">
        <v>37577833</v>
      </c>
      <c r="I297" s="51">
        <v>5665000</v>
      </c>
      <c r="J297" s="52">
        <v>3587833</v>
      </c>
      <c r="K297" s="53">
        <f t="shared" si="20"/>
        <v>33990000</v>
      </c>
      <c r="L297" s="54">
        <f t="shared" si="21"/>
        <v>9.5477378911125621E-2</v>
      </c>
      <c r="M297" s="12">
        <v>0</v>
      </c>
      <c r="N297" s="52"/>
      <c r="O297" s="9"/>
    </row>
    <row r="298" spans="1:15" ht="75" x14ac:dyDescent="0.25">
      <c r="A298" s="8" t="s">
        <v>786</v>
      </c>
      <c r="B298" s="8">
        <v>1010239158</v>
      </c>
      <c r="C298" s="8">
        <v>1</v>
      </c>
      <c r="D298" s="8" t="s">
        <v>758</v>
      </c>
      <c r="E298" s="8">
        <v>292</v>
      </c>
      <c r="F298" s="10">
        <v>45824</v>
      </c>
      <c r="G298" s="10">
        <v>46022</v>
      </c>
      <c r="H298" s="51">
        <v>24596400</v>
      </c>
      <c r="I298" s="51">
        <v>3708000</v>
      </c>
      <c r="J298" s="52">
        <v>1854000</v>
      </c>
      <c r="K298" s="53">
        <f t="shared" si="20"/>
        <v>22742400</v>
      </c>
      <c r="L298" s="54">
        <f t="shared" si="21"/>
        <v>7.5376884422110546E-2</v>
      </c>
      <c r="M298" s="12">
        <v>0</v>
      </c>
      <c r="N298" s="52"/>
      <c r="O298" s="9"/>
    </row>
    <row r="299" spans="1:15" ht="60" x14ac:dyDescent="0.25">
      <c r="A299" s="8" t="s">
        <v>787</v>
      </c>
      <c r="B299" s="8">
        <v>51908699</v>
      </c>
      <c r="C299" s="8">
        <v>1</v>
      </c>
      <c r="D299" s="8" t="s">
        <v>759</v>
      </c>
      <c r="E299" s="8">
        <v>293</v>
      </c>
      <c r="F299" s="10">
        <v>45824</v>
      </c>
      <c r="G299" s="10">
        <v>45912</v>
      </c>
      <c r="H299" s="51">
        <v>20085000</v>
      </c>
      <c r="I299" s="51">
        <v>6695000</v>
      </c>
      <c r="J299" s="52">
        <v>0</v>
      </c>
      <c r="K299" s="53">
        <f t="shared" si="20"/>
        <v>20085000</v>
      </c>
      <c r="L299" s="54">
        <f t="shared" si="21"/>
        <v>0</v>
      </c>
      <c r="M299" s="12">
        <v>0</v>
      </c>
      <c r="N299" s="52"/>
      <c r="O299" s="9"/>
    </row>
    <row r="300" spans="1:15" ht="75" x14ac:dyDescent="0.25">
      <c r="A300" s="8" t="s">
        <v>285</v>
      </c>
      <c r="B300" s="8">
        <v>52052153</v>
      </c>
      <c r="C300" s="8">
        <v>0</v>
      </c>
      <c r="D300" s="8" t="s">
        <v>760</v>
      </c>
      <c r="E300" s="8">
        <v>294</v>
      </c>
      <c r="F300" s="10">
        <v>45824</v>
      </c>
      <c r="G300" s="10">
        <v>46022</v>
      </c>
      <c r="H300" s="51">
        <v>36822500</v>
      </c>
      <c r="I300" s="51">
        <v>5665000</v>
      </c>
      <c r="J300" s="52">
        <v>2832500</v>
      </c>
      <c r="K300" s="53">
        <f t="shared" si="20"/>
        <v>33990000</v>
      </c>
      <c r="L300" s="54">
        <f t="shared" si="21"/>
        <v>7.6923076923076872E-2</v>
      </c>
      <c r="M300" s="12">
        <v>0</v>
      </c>
      <c r="N300" s="52"/>
      <c r="O300" s="9"/>
    </row>
    <row r="301" spans="1:15" ht="45" x14ac:dyDescent="0.25">
      <c r="A301" s="8" t="s">
        <v>144</v>
      </c>
      <c r="B301" s="8">
        <v>1022374419</v>
      </c>
      <c r="C301" s="8">
        <v>7</v>
      </c>
      <c r="D301" s="8" t="s">
        <v>761</v>
      </c>
      <c r="E301" s="8">
        <v>295</v>
      </c>
      <c r="F301" s="10">
        <v>45821</v>
      </c>
      <c r="G301" s="10">
        <v>46022</v>
      </c>
      <c r="H301" s="51">
        <v>57783000</v>
      </c>
      <c r="I301" s="51">
        <v>8755000</v>
      </c>
      <c r="J301" s="52">
        <v>5253000</v>
      </c>
      <c r="K301" s="53">
        <f t="shared" si="20"/>
        <v>52530000</v>
      </c>
      <c r="L301" s="54">
        <f t="shared" si="21"/>
        <v>9.0909090909090939E-2</v>
      </c>
      <c r="M301" s="12">
        <v>0</v>
      </c>
      <c r="N301" s="52"/>
      <c r="O301" s="9"/>
    </row>
    <row r="302" spans="1:15" ht="90" x14ac:dyDescent="0.25">
      <c r="A302" s="8" t="s">
        <v>788</v>
      </c>
      <c r="B302" s="8">
        <v>1010236283</v>
      </c>
      <c r="C302" s="8">
        <v>9</v>
      </c>
      <c r="D302" s="8" t="s">
        <v>762</v>
      </c>
      <c r="E302" s="8">
        <v>296</v>
      </c>
      <c r="F302" s="10">
        <v>45825</v>
      </c>
      <c r="G302" s="10">
        <v>46022</v>
      </c>
      <c r="H302" s="51">
        <v>50212500</v>
      </c>
      <c r="I302" s="51">
        <v>7725000</v>
      </c>
      <c r="J302" s="52">
        <v>3605000</v>
      </c>
      <c r="K302" s="53">
        <f t="shared" si="20"/>
        <v>46607500</v>
      </c>
      <c r="L302" s="54">
        <f t="shared" si="21"/>
        <v>7.1794871794871762E-2</v>
      </c>
      <c r="M302" s="12">
        <v>0</v>
      </c>
      <c r="N302" s="52"/>
      <c r="O302" s="9"/>
    </row>
    <row r="303" spans="1:15" ht="60" x14ac:dyDescent="0.25">
      <c r="A303" s="8" t="s">
        <v>295</v>
      </c>
      <c r="B303" s="8">
        <v>80195916</v>
      </c>
      <c r="C303" s="8">
        <v>9</v>
      </c>
      <c r="D303" s="8" t="s">
        <v>763</v>
      </c>
      <c r="E303" s="8">
        <v>297</v>
      </c>
      <c r="F303" s="10">
        <v>45824</v>
      </c>
      <c r="G303" s="10">
        <v>46022</v>
      </c>
      <c r="H303" s="51">
        <v>60924500</v>
      </c>
      <c r="I303" s="51">
        <v>9373000</v>
      </c>
      <c r="J303" s="52">
        <v>1540000</v>
      </c>
      <c r="K303" s="53">
        <f t="shared" si="20"/>
        <v>59384500</v>
      </c>
      <c r="L303" s="54">
        <f t="shared" si="21"/>
        <v>2.5277187338427098E-2</v>
      </c>
      <c r="M303" s="12">
        <v>0</v>
      </c>
      <c r="N303" s="52"/>
      <c r="O303" s="9"/>
    </row>
    <row r="304" spans="1:15" ht="105" x14ac:dyDescent="0.25">
      <c r="A304" s="8" t="s">
        <v>789</v>
      </c>
      <c r="B304" s="8">
        <v>52997369</v>
      </c>
      <c r="C304" s="8">
        <v>1</v>
      </c>
      <c r="D304" s="8" t="s">
        <v>764</v>
      </c>
      <c r="E304" s="8">
        <v>298</v>
      </c>
      <c r="F304" s="10">
        <v>45825</v>
      </c>
      <c r="G304" s="10">
        <v>46022</v>
      </c>
      <c r="H304" s="51">
        <v>21340000</v>
      </c>
      <c r="I304" s="51">
        <v>3300000</v>
      </c>
      <c r="J304" s="52">
        <v>3347500</v>
      </c>
      <c r="K304" s="53">
        <f t="shared" si="20"/>
        <v>17992500</v>
      </c>
      <c r="L304" s="54">
        <f t="shared" si="21"/>
        <v>0.15686504217432051</v>
      </c>
      <c r="M304" s="12">
        <v>0</v>
      </c>
      <c r="N304" s="52"/>
      <c r="O304" s="9"/>
    </row>
    <row r="305" spans="1:15" ht="45" x14ac:dyDescent="0.25">
      <c r="A305" s="8" t="s">
        <v>790</v>
      </c>
      <c r="B305" s="8">
        <v>1070956438</v>
      </c>
      <c r="C305" s="8">
        <v>0</v>
      </c>
      <c r="D305" s="8" t="s">
        <v>765</v>
      </c>
      <c r="E305" s="8">
        <v>299</v>
      </c>
      <c r="F305" s="10">
        <v>45826</v>
      </c>
      <c r="G305" s="10">
        <v>46022</v>
      </c>
      <c r="H305" s="51">
        <v>49955000</v>
      </c>
      <c r="I305" s="51">
        <v>7725000</v>
      </c>
      <c r="J305" s="52">
        <v>0</v>
      </c>
      <c r="K305" s="53">
        <f t="shared" si="20"/>
        <v>49955000</v>
      </c>
      <c r="L305" s="54">
        <f t="shared" si="21"/>
        <v>0</v>
      </c>
      <c r="M305" s="12">
        <v>0</v>
      </c>
      <c r="N305" s="52"/>
      <c r="O305" s="9"/>
    </row>
    <row r="306" spans="1:15" ht="45" x14ac:dyDescent="0.25">
      <c r="A306" s="8" t="s">
        <v>791</v>
      </c>
      <c r="B306" s="8">
        <v>901312112</v>
      </c>
      <c r="C306" s="8">
        <v>4</v>
      </c>
      <c r="D306" s="8" t="s">
        <v>766</v>
      </c>
      <c r="E306" s="8">
        <v>300</v>
      </c>
      <c r="F306" s="10">
        <v>45833</v>
      </c>
      <c r="G306" s="10">
        <v>45941</v>
      </c>
      <c r="H306" s="51">
        <v>2499052.46</v>
      </c>
      <c r="I306" s="8"/>
      <c r="J306" s="52">
        <v>0</v>
      </c>
      <c r="K306" s="53">
        <f t="shared" si="20"/>
        <v>2499052.46</v>
      </c>
      <c r="L306" s="54">
        <f t="shared" si="21"/>
        <v>0</v>
      </c>
      <c r="M306" s="12">
        <v>0</v>
      </c>
      <c r="N306" s="52"/>
      <c r="O306" s="9"/>
    </row>
    <row r="307" spans="1:15" ht="45" x14ac:dyDescent="0.25">
      <c r="A307" s="8" t="s">
        <v>791</v>
      </c>
      <c r="B307" s="8">
        <v>901312112</v>
      </c>
      <c r="C307" s="8">
        <v>4</v>
      </c>
      <c r="D307" s="8" t="s">
        <v>766</v>
      </c>
      <c r="E307" s="8">
        <v>301</v>
      </c>
      <c r="F307" s="8"/>
      <c r="G307" s="8"/>
      <c r="H307" s="51">
        <v>46350000</v>
      </c>
      <c r="I307" s="8"/>
      <c r="J307" s="52">
        <v>0</v>
      </c>
      <c r="K307" s="53">
        <f t="shared" si="20"/>
        <v>46350000</v>
      </c>
      <c r="L307" s="54">
        <f t="shared" si="21"/>
        <v>0</v>
      </c>
      <c r="M307" s="12">
        <v>0</v>
      </c>
      <c r="N307" s="52"/>
      <c r="O307" s="9"/>
    </row>
    <row r="308" spans="1:15" ht="90" x14ac:dyDescent="0.25">
      <c r="A308" s="8" t="s">
        <v>792</v>
      </c>
      <c r="B308" s="8">
        <v>52616840</v>
      </c>
      <c r="C308" s="8">
        <v>4</v>
      </c>
      <c r="D308" s="8" t="s">
        <v>767</v>
      </c>
      <c r="E308" s="8">
        <v>302</v>
      </c>
      <c r="F308" s="10">
        <v>45827</v>
      </c>
      <c r="G308" s="10">
        <v>46019</v>
      </c>
      <c r="H308" s="51">
        <v>42401667</v>
      </c>
      <c r="I308" s="51">
        <v>6695000</v>
      </c>
      <c r="J308" s="52">
        <v>2678000</v>
      </c>
      <c r="K308" s="53">
        <f t="shared" si="20"/>
        <v>39723667</v>
      </c>
      <c r="L308" s="54">
        <f t="shared" si="21"/>
        <v>6.3157894240337242E-2</v>
      </c>
      <c r="M308" s="12">
        <v>0</v>
      </c>
      <c r="N308" s="52"/>
      <c r="O308" s="9"/>
    </row>
    <row r="309" spans="1:15" ht="60" x14ac:dyDescent="0.25">
      <c r="A309" s="8" t="s">
        <v>793</v>
      </c>
      <c r="B309" s="8">
        <v>80857311</v>
      </c>
      <c r="C309" s="8">
        <v>5</v>
      </c>
      <c r="D309" s="8" t="s">
        <v>644</v>
      </c>
      <c r="E309" s="8">
        <v>303</v>
      </c>
      <c r="F309" s="10">
        <v>45833</v>
      </c>
      <c r="G309" s="10">
        <v>46010</v>
      </c>
      <c r="H309" s="51">
        <v>49440000</v>
      </c>
      <c r="I309" s="51">
        <v>8240000</v>
      </c>
      <c r="J309" s="52">
        <v>0</v>
      </c>
      <c r="K309" s="53">
        <f t="shared" si="20"/>
        <v>49440000</v>
      </c>
      <c r="L309" s="54">
        <f t="shared" si="21"/>
        <v>0</v>
      </c>
      <c r="M309" s="12">
        <v>0</v>
      </c>
      <c r="N309" s="52"/>
      <c r="O309" s="9"/>
    </row>
    <row r="310" spans="1:15" ht="75" x14ac:dyDescent="0.25">
      <c r="A310" s="8" t="s">
        <v>794</v>
      </c>
      <c r="B310" s="8">
        <v>79671168</v>
      </c>
      <c r="C310" s="8">
        <v>4</v>
      </c>
      <c r="D310" s="8" t="s">
        <v>768</v>
      </c>
      <c r="E310" s="8">
        <v>304</v>
      </c>
      <c r="F310" s="10">
        <v>45834</v>
      </c>
      <c r="G310" s="10">
        <v>46016</v>
      </c>
      <c r="H310" s="51">
        <v>52530000</v>
      </c>
      <c r="I310" s="51">
        <v>8755000</v>
      </c>
      <c r="J310" s="52">
        <v>0</v>
      </c>
      <c r="K310" s="53">
        <f t="shared" si="20"/>
        <v>52530000</v>
      </c>
      <c r="L310" s="54">
        <f t="shared" si="21"/>
        <v>0</v>
      </c>
      <c r="M310" s="12">
        <v>0</v>
      </c>
      <c r="N310" s="52"/>
      <c r="O310" s="9"/>
    </row>
    <row r="311" spans="1:15" ht="60" x14ac:dyDescent="0.25">
      <c r="A311" s="8" t="s">
        <v>795</v>
      </c>
      <c r="B311" s="8">
        <v>1023902292</v>
      </c>
      <c r="C311" s="8">
        <v>1</v>
      </c>
      <c r="D311" s="8" t="s">
        <v>769</v>
      </c>
      <c r="E311" s="8">
        <v>305</v>
      </c>
      <c r="F311" s="10">
        <v>45834</v>
      </c>
      <c r="G311" s="10">
        <v>46016</v>
      </c>
      <c r="H311" s="51">
        <v>46350000</v>
      </c>
      <c r="I311" s="51">
        <v>7725000</v>
      </c>
      <c r="J311" s="52">
        <v>1287500</v>
      </c>
      <c r="K311" s="53">
        <f t="shared" si="20"/>
        <v>45062500</v>
      </c>
      <c r="L311" s="54">
        <f t="shared" si="21"/>
        <v>2.777777777777779E-2</v>
      </c>
      <c r="M311" s="12">
        <v>0</v>
      </c>
      <c r="N311" s="52"/>
      <c r="O311" s="9"/>
    </row>
    <row r="312" spans="1:15" ht="60" x14ac:dyDescent="0.25">
      <c r="A312" s="8" t="s">
        <v>126</v>
      </c>
      <c r="B312" s="8">
        <v>1020822526</v>
      </c>
      <c r="C312" s="8">
        <v>3</v>
      </c>
      <c r="D312" s="8" t="s">
        <v>770</v>
      </c>
      <c r="E312" s="8">
        <v>306</v>
      </c>
      <c r="F312" s="10">
        <v>45834</v>
      </c>
      <c r="G312" s="10">
        <v>46016</v>
      </c>
      <c r="H312" s="51">
        <v>27810000</v>
      </c>
      <c r="I312" s="51">
        <v>4635000</v>
      </c>
      <c r="J312" s="52">
        <v>772500</v>
      </c>
      <c r="K312" s="53">
        <f t="shared" si="20"/>
        <v>27037500</v>
      </c>
      <c r="L312" s="54">
        <f t="shared" si="21"/>
        <v>2.777777777777779E-2</v>
      </c>
      <c r="M312" s="12">
        <v>0</v>
      </c>
      <c r="N312" s="52"/>
      <c r="O312" s="9"/>
    </row>
    <row r="313" spans="1:15" ht="75" x14ac:dyDescent="0.25">
      <c r="A313" s="8" t="s">
        <v>322</v>
      </c>
      <c r="B313" s="8">
        <v>52904871</v>
      </c>
      <c r="C313" s="8">
        <v>8</v>
      </c>
      <c r="D313" s="8" t="s">
        <v>771</v>
      </c>
      <c r="E313" s="8">
        <v>307</v>
      </c>
      <c r="F313" s="8"/>
      <c r="G313" s="10">
        <v>46022</v>
      </c>
      <c r="H313" s="51">
        <v>56238000</v>
      </c>
      <c r="I313" s="51">
        <v>9373000</v>
      </c>
      <c r="J313" s="52">
        <v>0</v>
      </c>
      <c r="K313" s="53">
        <f t="shared" si="20"/>
        <v>56238000</v>
      </c>
      <c r="L313" s="54">
        <f t="shared" si="21"/>
        <v>0</v>
      </c>
      <c r="M313" s="12">
        <v>0</v>
      </c>
      <c r="N313" s="52"/>
      <c r="O313" s="9"/>
    </row>
    <row r="314" spans="1:15" ht="60" x14ac:dyDescent="0.25">
      <c r="A314" s="8" t="s">
        <v>121</v>
      </c>
      <c r="B314" s="8">
        <v>1020802607</v>
      </c>
      <c r="C314" s="8">
        <v>6</v>
      </c>
      <c r="D314" s="8" t="s">
        <v>772</v>
      </c>
      <c r="E314" s="8">
        <v>308</v>
      </c>
      <c r="F314" s="10">
        <v>45835</v>
      </c>
      <c r="G314" s="10">
        <v>46017</v>
      </c>
      <c r="H314" s="51">
        <v>33990000</v>
      </c>
      <c r="I314" s="51">
        <v>5665000</v>
      </c>
      <c r="J314" s="52">
        <v>0</v>
      </c>
      <c r="K314" s="53">
        <f t="shared" si="20"/>
        <v>33990000</v>
      </c>
      <c r="L314" s="54">
        <f t="shared" si="21"/>
        <v>0</v>
      </c>
      <c r="M314" s="12">
        <v>0</v>
      </c>
      <c r="N314" s="52"/>
      <c r="O314" s="9"/>
    </row>
    <row r="315" spans="1:15" ht="60" x14ac:dyDescent="0.25">
      <c r="A315" s="8" t="s">
        <v>796</v>
      </c>
      <c r="B315" s="8">
        <v>11311766</v>
      </c>
      <c r="C315" s="8">
        <v>8</v>
      </c>
      <c r="D315" s="8" t="s">
        <v>773</v>
      </c>
      <c r="E315" s="8">
        <v>309</v>
      </c>
      <c r="F315" s="10">
        <v>45834</v>
      </c>
      <c r="G315" s="10">
        <v>46016</v>
      </c>
      <c r="H315" s="51">
        <v>37080000</v>
      </c>
      <c r="I315" s="51">
        <v>6180000</v>
      </c>
      <c r="J315" s="52">
        <v>1030000</v>
      </c>
      <c r="K315" s="53">
        <f t="shared" si="20"/>
        <v>36050000</v>
      </c>
      <c r="L315" s="54">
        <f t="shared" si="21"/>
        <v>2.777777777777779E-2</v>
      </c>
      <c r="M315" s="12">
        <v>0</v>
      </c>
      <c r="N315" s="52"/>
      <c r="O315" s="9"/>
    </row>
  </sheetData>
  <autoFilter ref="A1:O13" xr:uid="{00000000-0009-0000-0000-000000000000}">
    <filterColumn colId="11">
      <filters>
        <filter val="100,00%"/>
      </filters>
    </filterColumn>
  </autoFilter>
  <dataValidations count="3">
    <dataValidation allowBlank="1" showInputMessage="1" showErrorMessage="1" sqref="A13:A23" xr:uid="{A05D3881-3C3F-4736-8FA2-285B4EB7EBAC}"/>
    <dataValidation type="date" allowBlank="1" showInputMessage="1" showErrorMessage="1" sqref="F10:F11" xr:uid="{E2E69A9D-237C-485D-94FE-B94083C8A277}">
      <formula1>45292</formula1>
      <formula2>45657</formula2>
    </dataValidation>
    <dataValidation type="date" operator="greaterThan" allowBlank="1" showInputMessage="1" showErrorMessage="1" sqref="G10:G11" xr:uid="{1DA9F689-DE52-461B-BA6B-911900D9927E}">
      <formula1>44927</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8da5f85-e182-4cd5-ad53-4b88b7fa14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6B1C0547A1C8D42B71F8B6F843C9067" ma:contentTypeVersion="18" ma:contentTypeDescription="Crear nuevo documento." ma:contentTypeScope="" ma:versionID="9ebd38461b14db93a12842c8dc458eba">
  <xsd:schema xmlns:xsd="http://www.w3.org/2001/XMLSchema" xmlns:xs="http://www.w3.org/2001/XMLSchema" xmlns:p="http://schemas.microsoft.com/office/2006/metadata/properties" xmlns:ns3="fc9bb637-31a1-45e3-99d8-5503741ee48a" xmlns:ns4="68da5f85-e182-4cd5-ad53-4b88b7fa14a8" targetNamespace="http://schemas.microsoft.com/office/2006/metadata/properties" ma:root="true" ma:fieldsID="58129c4ddec1dea399102fd0c87f76c8" ns3:_="" ns4:_="">
    <xsd:import namespace="fc9bb637-31a1-45e3-99d8-5503741ee48a"/>
    <xsd:import namespace="68da5f85-e182-4cd5-ad53-4b88b7fa14a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SearchProperties" minOccurs="0"/>
                <xsd:element ref="ns4:_activity" minOccurs="0"/>
                <xsd:element ref="ns4:MediaServiceObjectDetectorVersions" minOccurs="0"/>
                <xsd:element ref="ns4:MediaServiceSystemTag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9bb637-31a1-45e3-99d8-5503741ee48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da5f85-e182-4cd5-ad53-4b88b7fa14a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74D4A7-0EBC-4D0B-8885-4FA0B53F7A11}">
  <ds:schemaRefs>
    <ds:schemaRef ds:uri="http://schemas.microsoft.com/sharepoint/v3/contenttype/forms"/>
  </ds:schemaRefs>
</ds:datastoreItem>
</file>

<file path=customXml/itemProps2.xml><?xml version="1.0" encoding="utf-8"?>
<ds:datastoreItem xmlns:ds="http://schemas.openxmlformats.org/officeDocument/2006/customXml" ds:itemID="{81E32AC9-F128-4F60-AAD3-78227CE054B3}">
  <ds:schemaRefs>
    <ds:schemaRef ds:uri="http://schemas.microsoft.com/office/2006/documentManagement/types"/>
    <ds:schemaRef ds:uri="http://www.w3.org/XML/1998/namespac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dcmitype/"/>
    <ds:schemaRef ds:uri="http://purl.org/dc/terms/"/>
    <ds:schemaRef ds:uri="fc9bb637-31a1-45e3-99d8-5503741ee48a"/>
    <ds:schemaRef ds:uri="68da5f85-e182-4cd5-ad53-4b88b7fa14a8"/>
  </ds:schemaRefs>
</ds:datastoreItem>
</file>

<file path=customXml/itemProps3.xml><?xml version="1.0" encoding="utf-8"?>
<ds:datastoreItem xmlns:ds="http://schemas.openxmlformats.org/officeDocument/2006/customXml" ds:itemID="{38259CBB-6699-42FA-A45E-B3B876878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9bb637-31a1-45e3-99d8-5503741ee48a"/>
    <ds:schemaRef ds:uri="68da5f85-e182-4cd5-ad53-4b88b7fa1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Lara</dc:creator>
  <cp:lastModifiedBy>Giovanni Rincon Quintero</cp:lastModifiedBy>
  <dcterms:created xsi:type="dcterms:W3CDTF">2023-04-01T18:22:54Z</dcterms:created>
  <dcterms:modified xsi:type="dcterms:W3CDTF">2025-08-04T16:25:05Z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0x01010006B1C0547A1C8D42B71F8B6F843C9067</vt:lpwstr>
  </property>
</Properties>
</file>