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jruizp\Downloads\"/>
    </mc:Choice>
  </mc:AlternateContent>
  <xr:revisionPtr revIDLastSave="0" documentId="13_ncr:1_{23A37F4C-9702-4FDE-A78C-268EB5FB4287}" xr6:coauthVersionLast="36" xr6:coauthVersionMax="47" xr10:uidLastSave="{00000000-0000-0000-0000-000000000000}"/>
  <bookViews>
    <workbookView xWindow="-28920" yWindow="-120" windowWidth="29040" windowHeight="15720" firstSheet="1" activeTab="2" xr2:uid="{00000000-000D-0000-FFFF-FFFF00000000}"/>
  </bookViews>
  <sheets>
    <sheet name="CONTROL VIGENCIAS" sheetId="1" state="hidden" r:id="rId1"/>
    <sheet name="PROYECCION PLAN DE PAGOS" sheetId="2" r:id="rId2"/>
    <sheet name="ACTA DE INICIO " sheetId="4" r:id="rId3"/>
    <sheet name="DATOS" sheetId="3" state="hidden" r:id="rId4"/>
  </sheets>
  <definedNames>
    <definedName name="_xlnm.Print_Area" localSheetId="2">'ACTA DE INICIO '!$B$1:$E$51</definedName>
    <definedName name="_xlnm.Print_Area" localSheetId="1">'PROYECCION PLAN DE PAGOS'!$A$1:$H$47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31" i="2"/>
  <c r="B16" i="2" s="1"/>
  <c r="B29" i="4" s="1"/>
  <c r="C12" i="2"/>
  <c r="C24" i="2" s="1"/>
  <c r="C46" i="2"/>
  <c r="L8" i="2"/>
  <c r="M8" i="2" s="1"/>
  <c r="N8" i="2" s="1"/>
  <c r="L9" i="2"/>
  <c r="M9" i="2"/>
  <c r="N9" i="2" s="1"/>
  <c r="B14" i="2" l="1"/>
  <c r="B27" i="4" s="1"/>
  <c r="B18" i="2"/>
  <c r="B31" i="4" s="1"/>
  <c r="B19" i="2"/>
  <c r="B32" i="4" s="1"/>
  <c r="B17" i="2"/>
  <c r="B30" i="4" s="1"/>
  <c r="B22" i="2"/>
  <c r="B35" i="4" s="1"/>
  <c r="B23" i="2"/>
  <c r="B36" i="4" s="1"/>
  <c r="B15" i="2"/>
  <c r="B28" i="4" s="1"/>
  <c r="B12" i="2"/>
  <c r="B25" i="4" s="1"/>
  <c r="B37" i="2"/>
  <c r="B20" i="2"/>
  <c r="B33" i="4" s="1"/>
  <c r="B13" i="2"/>
  <c r="B26" i="4" s="1"/>
  <c r="B21" i="2"/>
  <c r="B34" i="4" s="1"/>
  <c r="B45" i="2"/>
  <c r="B38" i="2"/>
  <c r="B39" i="2"/>
  <c r="B40" i="2"/>
  <c r="B34" i="2"/>
  <c r="B42" i="2"/>
  <c r="B41" i="2"/>
  <c r="B35" i="2"/>
  <c r="B43" i="2"/>
  <c r="B36" i="2"/>
  <c r="B44" i="2"/>
  <c r="O9" i="2"/>
  <c r="Q9" i="2"/>
  <c r="R9" i="2" s="1"/>
  <c r="Q8" i="2"/>
  <c r="R8" i="2" s="1"/>
  <c r="O8" i="2"/>
  <c r="D44" i="2" l="1"/>
  <c r="D36" i="2"/>
  <c r="D43" i="2"/>
  <c r="D35" i="2"/>
  <c r="D41" i="2"/>
  <c r="D42" i="2"/>
  <c r="D34" i="2"/>
  <c r="D40" i="2"/>
  <c r="D39" i="2"/>
  <c r="D38" i="2"/>
  <c r="D45" i="2"/>
  <c r="D37" i="2"/>
  <c r="D13" i="2"/>
  <c r="C26" i="4" s="1"/>
  <c r="G14" i="2"/>
  <c r="D14" i="2" s="1"/>
  <c r="C27" i="4" s="1"/>
  <c r="G15" i="2"/>
  <c r="D15" i="2" s="1"/>
  <c r="C28" i="4" s="1"/>
  <c r="G16" i="2"/>
  <c r="D16" i="2" s="1"/>
  <c r="C29" i="4" s="1"/>
  <c r="G17" i="2"/>
  <c r="D17" i="2" s="1"/>
  <c r="C30" i="4" s="1"/>
  <c r="G18" i="2"/>
  <c r="D18" i="2" s="1"/>
  <c r="C31" i="4" s="1"/>
  <c r="G19" i="2"/>
  <c r="D19" i="2" s="1"/>
  <c r="C32" i="4" s="1"/>
  <c r="G20" i="2"/>
  <c r="D20" i="2" s="1"/>
  <c r="C33" i="4" s="1"/>
  <c r="G21" i="2"/>
  <c r="D21" i="2" s="1"/>
  <c r="C34" i="4" s="1"/>
  <c r="G22" i="2"/>
  <c r="D22" i="2" s="1"/>
  <c r="C35" i="4" s="1"/>
  <c r="G23" i="2"/>
  <c r="D23" i="2" s="1"/>
  <c r="C36" i="4" s="1"/>
  <c r="G12" i="2"/>
  <c r="D12" i="2" s="1"/>
  <c r="C25" i="4" s="1"/>
  <c r="D46" i="2" l="1"/>
  <c r="D24" i="2"/>
  <c r="C37" i="4" s="1"/>
  <c r="C39" i="4" s="1"/>
  <c r="L4" i="2"/>
  <c r="M4" i="2" s="1"/>
  <c r="N4" i="2" s="1"/>
  <c r="L5" i="2"/>
  <c r="M5" i="2" s="1"/>
  <c r="N5" i="2" s="1"/>
  <c r="L6" i="2"/>
  <c r="M6" i="2" s="1"/>
  <c r="N6" i="2" s="1"/>
  <c r="L7" i="2"/>
  <c r="M7" i="2" s="1"/>
  <c r="N7" i="2" s="1"/>
  <c r="L10" i="2"/>
  <c r="M10" i="2" s="1"/>
  <c r="N10" i="2" s="1"/>
  <c r="L11" i="2"/>
  <c r="M11" i="2" s="1"/>
  <c r="N11" i="2" s="1"/>
  <c r="L12" i="2"/>
  <c r="M12" i="2" s="1"/>
  <c r="N12" i="2" s="1"/>
  <c r="L13" i="2"/>
  <c r="M13" i="2" s="1"/>
  <c r="N13" i="2" s="1"/>
  <c r="L14" i="2"/>
  <c r="M14" i="2" s="1"/>
  <c r="N14" i="2" s="1"/>
  <c r="L15" i="2"/>
  <c r="M15" i="2" s="1"/>
  <c r="N15" i="2" s="1"/>
  <c r="L16" i="2"/>
  <c r="M16" i="2" s="1"/>
  <c r="N16" i="2" s="1"/>
  <c r="L17" i="2"/>
  <c r="M17" i="2" s="1"/>
  <c r="N17" i="2" s="1"/>
  <c r="L18" i="2"/>
  <c r="M18" i="2" s="1"/>
  <c r="N18" i="2" s="1"/>
  <c r="L19" i="2"/>
  <c r="M19" i="2" s="1"/>
  <c r="N19" i="2" s="1"/>
  <c r="L20" i="2"/>
  <c r="M20" i="2" s="1"/>
  <c r="N20" i="2" s="1"/>
  <c r="L21" i="2"/>
  <c r="M21" i="2" s="1"/>
  <c r="N21" i="2" s="1"/>
  <c r="L22" i="2"/>
  <c r="M22" i="2" s="1"/>
  <c r="N22" i="2" s="1"/>
  <c r="L23" i="2"/>
  <c r="M23" i="2" s="1"/>
  <c r="N23" i="2" s="1"/>
  <c r="L24" i="2"/>
  <c r="M24" i="2" s="1"/>
  <c r="N24" i="2" s="1"/>
  <c r="L25" i="2"/>
  <c r="M25" i="2" s="1"/>
  <c r="N25" i="2" s="1"/>
  <c r="L26" i="2"/>
  <c r="M26" i="2" s="1"/>
  <c r="N26" i="2" s="1"/>
  <c r="L27" i="2"/>
  <c r="M27" i="2" s="1"/>
  <c r="N27" i="2" s="1"/>
  <c r="O27" i="2" s="1"/>
  <c r="L28" i="2"/>
  <c r="M28" i="2" s="1"/>
  <c r="N28" i="2" s="1"/>
  <c r="L29" i="2"/>
  <c r="M29" i="2" s="1"/>
  <c r="N29" i="2" s="1"/>
  <c r="Q29" i="2" s="1"/>
  <c r="R29" i="2" s="1"/>
  <c r="L30" i="2"/>
  <c r="M30" i="2" s="1"/>
  <c r="N30" i="2" s="1"/>
  <c r="L31" i="2"/>
  <c r="M31" i="2" s="1"/>
  <c r="N31" i="2" s="1"/>
  <c r="L32" i="2"/>
  <c r="M32" i="2" s="1"/>
  <c r="N32" i="2" s="1"/>
  <c r="L33" i="2"/>
  <c r="M33" i="2" s="1"/>
  <c r="N33" i="2" s="1"/>
  <c r="L34" i="2"/>
  <c r="M34" i="2" s="1"/>
  <c r="N34" i="2" s="1"/>
  <c r="L35" i="2"/>
  <c r="M35" i="2" s="1"/>
  <c r="N35" i="2" s="1"/>
  <c r="L36" i="2"/>
  <c r="M36" i="2" s="1"/>
  <c r="N36" i="2" s="1"/>
  <c r="L37" i="2"/>
  <c r="M37" i="2" s="1"/>
  <c r="N37" i="2" s="1"/>
  <c r="L38" i="2"/>
  <c r="M38" i="2" s="1"/>
  <c r="N38" i="2" s="1"/>
  <c r="L39" i="2"/>
  <c r="M39" i="2" s="1"/>
  <c r="N39" i="2" s="1"/>
  <c r="L40" i="2"/>
  <c r="M40" i="2" s="1"/>
  <c r="N40" i="2" s="1"/>
  <c r="L41" i="2"/>
  <c r="M41" i="2" s="1"/>
  <c r="N41" i="2" s="1"/>
  <c r="G6" i="2"/>
  <c r="F8" i="1"/>
  <c r="H8" i="1"/>
  <c r="G10" i="1"/>
  <c r="E10" i="1"/>
  <c r="D10" i="1"/>
  <c r="C10" i="1"/>
  <c r="F7" i="1"/>
  <c r="H7" i="1" s="1"/>
  <c r="F9" i="1"/>
  <c r="H9" i="1"/>
  <c r="F6" i="1"/>
  <c r="F5" i="1"/>
  <c r="F10" i="1"/>
  <c r="C16" i="1" s="1"/>
  <c r="B6" i="1"/>
  <c r="B7" i="1" s="1"/>
  <c r="B8" i="1" s="1"/>
  <c r="B9" i="1" s="1"/>
  <c r="H6" i="1"/>
  <c r="H5" i="1"/>
  <c r="Q27" i="2" l="1"/>
  <c r="R27" i="2" s="1"/>
  <c r="H10" i="1"/>
  <c r="D18" i="1"/>
  <c r="O25" i="2"/>
  <c r="Q25" i="2"/>
  <c r="R25" i="2" s="1"/>
  <c r="O13" i="2"/>
  <c r="Q13" i="2"/>
  <c r="R13" i="2" s="1"/>
  <c r="O20" i="2"/>
  <c r="Q20" i="2"/>
  <c r="R20" i="2" s="1"/>
  <c r="Q37" i="2"/>
  <c r="R37" i="2" s="1"/>
  <c r="O37" i="2"/>
  <c r="O36" i="2"/>
  <c r="Q36" i="2"/>
  <c r="R36" i="2" s="1"/>
  <c r="O32" i="2"/>
  <c r="Q32" i="2"/>
  <c r="R32" i="2" s="1"/>
  <c r="O23" i="2"/>
  <c r="Q23" i="2"/>
  <c r="R23" i="2" s="1"/>
  <c r="Q18" i="2"/>
  <c r="R18" i="2" s="1"/>
  <c r="O18" i="2"/>
  <c r="O11" i="2"/>
  <c r="Q11" i="2"/>
  <c r="R11" i="2" s="1"/>
  <c r="Q19" i="2"/>
  <c r="R19" i="2" s="1"/>
  <c r="O19" i="2"/>
  <c r="O7" i="2"/>
  <c r="Q7" i="2"/>
  <c r="R7" i="2" s="1"/>
  <c r="O17" i="2"/>
  <c r="Q17" i="2"/>
  <c r="R17" i="2" s="1"/>
  <c r="Q35" i="2"/>
  <c r="R35" i="2" s="1"/>
  <c r="O35" i="2"/>
  <c r="Q30" i="2"/>
  <c r="R30" i="2" s="1"/>
  <c r="O30" i="2"/>
  <c r="O22" i="2"/>
  <c r="Q22" i="2"/>
  <c r="R22" i="2" s="1"/>
  <c r="O16" i="2"/>
  <c r="Q16" i="2"/>
  <c r="R16" i="2" s="1"/>
  <c r="Q10" i="2"/>
  <c r="R10" i="2" s="1"/>
  <c r="O10" i="2"/>
  <c r="Q5" i="2"/>
  <c r="R5" i="2" s="1"/>
  <c r="O5" i="2"/>
  <c r="Q28" i="2"/>
  <c r="R28" i="2" s="1"/>
  <c r="O28" i="2"/>
  <c r="Q31" i="2"/>
  <c r="R31" i="2" s="1"/>
  <c r="O31" i="2"/>
  <c r="Q6" i="2"/>
  <c r="R6" i="2" s="1"/>
  <c r="O6" i="2"/>
  <c r="Q41" i="2"/>
  <c r="R41" i="2" s="1"/>
  <c r="O41" i="2"/>
  <c r="O26" i="2"/>
  <c r="Q26" i="2"/>
  <c r="R26" i="2" s="1"/>
  <c r="Q15" i="2"/>
  <c r="R15" i="2" s="1"/>
  <c r="O15" i="2"/>
  <c r="Q4" i="2"/>
  <c r="R4" i="2" s="1"/>
  <c r="O4" i="2"/>
  <c r="O39" i="2"/>
  <c r="Q39" i="2"/>
  <c r="R39" i="2" s="1"/>
  <c r="Q38" i="2"/>
  <c r="R38" i="2" s="1"/>
  <c r="O38" i="2"/>
  <c r="O33" i="2"/>
  <c r="Q33" i="2"/>
  <c r="R33" i="2" s="1"/>
  <c r="Q12" i="2"/>
  <c r="R12" i="2" s="1"/>
  <c r="O12" i="2"/>
  <c r="Q24" i="2"/>
  <c r="R24" i="2" s="1"/>
  <c r="O24" i="2"/>
  <c r="O40" i="2"/>
  <c r="Q40" i="2"/>
  <c r="R40" i="2" s="1"/>
  <c r="O34" i="2"/>
  <c r="Q34" i="2"/>
  <c r="R34" i="2" s="1"/>
  <c r="Q21" i="2"/>
  <c r="R21" i="2" s="1"/>
  <c r="O21" i="2"/>
  <c r="O14" i="2"/>
  <c r="Q14" i="2"/>
  <c r="R14" i="2" s="1"/>
  <c r="C18" i="1"/>
  <c r="O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Roberto Cardona Hernandez</author>
    <author>Acer</author>
  </authors>
  <commentList>
    <comment ref="G4" authorId="0" shapeId="0" xr:uid="{00000000-0006-0000-0000-000001000000}">
      <text>
        <r>
          <rPr>
            <sz val="9"/>
            <color indexed="81"/>
            <rFont val="Tahoma"/>
            <family val="2"/>
          </rPr>
          <t>Sume cada mes o digite el total por vigencia</t>
        </r>
      </text>
    </comment>
    <comment ref="I4" authorId="0" shapeId="0" xr:uid="{00000000-0006-0000-0000-000002000000}">
      <text>
        <r>
          <rPr>
            <sz val="9"/>
            <color indexed="81"/>
            <rFont val="Tahoma"/>
            <family val="2"/>
          </rPr>
          <t>Cada vigencia tiene cada su propio documento o registro</t>
        </r>
      </text>
    </comment>
    <comment ref="J4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Cada uno deberá tener su correspondiente, ya que no se debe mezclar vigencias
</t>
        </r>
      </text>
    </comment>
  </commentList>
</comments>
</file>

<file path=xl/sharedStrings.xml><?xml version="1.0" encoding="utf-8"?>
<sst xmlns="http://schemas.openxmlformats.org/spreadsheetml/2006/main" count="188" uniqueCount="153">
  <si>
    <t>CONTROL CONTRATO No.</t>
  </si>
  <si>
    <t>Año o Vigencia fiscal</t>
  </si>
  <si>
    <t>Valor Inicial</t>
  </si>
  <si>
    <t>Adiciones (+)</t>
  </si>
  <si>
    <t>Reducciones (+)</t>
  </si>
  <si>
    <t>Valor Final Año</t>
  </si>
  <si>
    <t>Valor Pagado/año</t>
  </si>
  <si>
    <t>Saldo /año</t>
  </si>
  <si>
    <t>CDP</t>
  </si>
  <si>
    <t>RP</t>
  </si>
  <si>
    <t>Total Contrato</t>
  </si>
  <si>
    <t>Evite usar decimales</t>
  </si>
  <si>
    <t>valor adicional 2020</t>
  </si>
  <si>
    <t>valor adicional 2021</t>
  </si>
  <si>
    <t>valor requerido 2022</t>
  </si>
  <si>
    <t>Nuevo Total Contrato</t>
  </si>
  <si>
    <r>
      <rPr>
        <sz val="11"/>
        <color theme="1"/>
        <rFont val="Wingdings 3"/>
        <family val="1"/>
        <charset val="2"/>
      </rPr>
      <t>Z</t>
    </r>
    <r>
      <rPr>
        <sz val="11"/>
        <color theme="1"/>
        <rFont val="Calibri"/>
        <family val="2"/>
        <scheme val="minor"/>
      </rPr>
      <t xml:space="preserve"> Debe ser exactamente igual al valor del contrato firmado o documento soporte</t>
    </r>
  </si>
  <si>
    <t>Validación</t>
  </si>
  <si>
    <t>Vr. 2021</t>
  </si>
  <si>
    <t>Diario decim</t>
  </si>
  <si>
    <t>Ajuste Vr día</t>
  </si>
  <si>
    <t>Vr Mes Nuevo</t>
  </si>
  <si>
    <t>Dif / mes</t>
  </si>
  <si>
    <t>Vr antes IVA</t>
  </si>
  <si>
    <t>IVA</t>
  </si>
  <si>
    <t>Vr día</t>
  </si>
  <si>
    <t>Valor mensual:</t>
  </si>
  <si>
    <t>valor raro</t>
  </si>
  <si>
    <t>??</t>
  </si>
  <si>
    <t>Meses</t>
  </si>
  <si>
    <t>Valor a pagar</t>
  </si>
  <si>
    <t>Total</t>
  </si>
  <si>
    <t>PERFIL</t>
  </si>
  <si>
    <t>TITULO</t>
  </si>
  <si>
    <t>EXPERIENCIA</t>
  </si>
  <si>
    <t>HONORARIOS</t>
  </si>
  <si>
    <t>EXPERTO VIII</t>
  </si>
  <si>
    <t>De formación profesional, matrícula o tarjeta profesional en los casos de ley.
De posgrado o su Equivalente</t>
  </si>
  <si>
    <t>De 90 a 106 meses de "EP" (**) de los cuales 36 meses de "ER" (***)</t>
  </si>
  <si>
    <t>EXPERTO VII</t>
  </si>
  <si>
    <t>De 75 a 89 meses de "EP" (**) de los cuales 36 meses de "ER" (***)</t>
  </si>
  <si>
    <t>EXPERTO VI</t>
  </si>
  <si>
    <t>De 65 a 74 meses de "EP" (**) de los cuales 36 meses de "ER" (***)</t>
  </si>
  <si>
    <t>EXPERTO V</t>
  </si>
  <si>
    <t>De 55 a 64 meses de "EP" (**) de los cuales 36 meses de "ER" (***)</t>
  </si>
  <si>
    <t>EXPERTO IV</t>
  </si>
  <si>
    <t>De 48 a 54 meses de "EP" (**) de los cuales 30 meses de "ER" (***)</t>
  </si>
  <si>
    <t>EXPERTO III</t>
  </si>
  <si>
    <t>De 42 a 47 meses de "EP" (**) de los cuales  24 meses de "ER" (***)</t>
  </si>
  <si>
    <t>EXPERTO II</t>
  </si>
  <si>
    <t>De 39 a 41 meses de "EP" (**) de los cuales  18 meses de "ER" (***)</t>
  </si>
  <si>
    <t>EXPERTO I</t>
  </si>
  <si>
    <t>De 35 a 38 meses de "EP" (**) de los cuales  12 meses de "ER" (***)</t>
  </si>
  <si>
    <t>ESPECIALIZADO IV</t>
  </si>
  <si>
    <t xml:space="preserve">De 29 a 34 meses de "EP" (**) </t>
  </si>
  <si>
    <t>ESPECIALIZADO III</t>
  </si>
  <si>
    <t xml:space="preserve">De 24 a 28 meses de "EP" (**) </t>
  </si>
  <si>
    <t>ESPECIALIZADO II</t>
  </si>
  <si>
    <t xml:space="preserve">De 12 a 16 meses de "EP" (**) </t>
  </si>
  <si>
    <t>ESPECIALIZADO I</t>
  </si>
  <si>
    <t xml:space="preserve">De 5 a 10 meses de "EP" (**) </t>
  </si>
  <si>
    <t>PROFESIONALES IV</t>
  </si>
  <si>
    <t>De formación profesional, matrícula o tarjeta profesional en los casos de ley</t>
  </si>
  <si>
    <t xml:space="preserve">De 23 a 27 meses de "EP" (**) </t>
  </si>
  <si>
    <t>PROFESIONALES III</t>
  </si>
  <si>
    <t xml:space="preserve">De 18 a 22 meses de "EP" (**) </t>
  </si>
  <si>
    <t>PROFESIONALES II</t>
  </si>
  <si>
    <t xml:space="preserve">De 13 a 17 meses de "EP" (**) </t>
  </si>
  <si>
    <t>PROFESIONALES I</t>
  </si>
  <si>
    <t xml:space="preserve">De 0 a 12 meses de "EP" (**) </t>
  </si>
  <si>
    <t>TECNÓLOGO III</t>
  </si>
  <si>
    <t>De formación tencológica o su equivalente</t>
  </si>
  <si>
    <t xml:space="preserve">De 25 a 36 meses de "EL" (**) </t>
  </si>
  <si>
    <t>TECNÓLOGO II</t>
  </si>
  <si>
    <t xml:space="preserve">De 18 a 24 meses de "EL" (**) </t>
  </si>
  <si>
    <t>TECNÓLOGO I</t>
  </si>
  <si>
    <t xml:space="preserve">De 12 a 18 meses de "EL" (**) </t>
  </si>
  <si>
    <t>TÉCNICO I</t>
  </si>
  <si>
    <t>De formación técnica o su equivalente</t>
  </si>
  <si>
    <t xml:space="preserve">De 6 a 12 meses de "EL" (**) </t>
  </si>
  <si>
    <t>BACHILLER II</t>
  </si>
  <si>
    <t>BACHILLER</t>
  </si>
  <si>
    <t xml:space="preserve">De 10 a 14 meses de "EL" (**) </t>
  </si>
  <si>
    <t>BACHILLER I</t>
  </si>
  <si>
    <t>SIN EXPERIENCIA</t>
  </si>
  <si>
    <t>PERFIL:</t>
  </si>
  <si>
    <t>Día de Inicio de ejecución</t>
  </si>
  <si>
    <t>CONTRATISTA</t>
  </si>
  <si>
    <t>INDICAR EL NOMBRE COMPLETO</t>
  </si>
  <si>
    <t>OBJETO</t>
  </si>
  <si>
    <t>INDICAR EL OBJETO EN MAYÚSCULA Y CON ID</t>
  </si>
  <si>
    <t>REGISTRO PRESUPUESTAL</t>
  </si>
  <si>
    <t>INDICAR EL NÚMERO DEL RP Y FECHA</t>
  </si>
  <si>
    <t>INDICAR EL VALOR DEL RP</t>
  </si>
  <si>
    <t>ADMINISTRADORA DE RIESGOS LABORALES</t>
  </si>
  <si>
    <t>INDICAR EL NOMBRE DE LA ASEGURADORA ARL</t>
  </si>
  <si>
    <t>FECHA DE INICIO DE COBERTURA</t>
  </si>
  <si>
    <t>GARANTÍA ÚNICA DE CUMPLIMIENTO</t>
  </si>
  <si>
    <t>NÚMERO DE LA PÓLIZA</t>
  </si>
  <si>
    <t>FECHA DE APROBACIÓN</t>
  </si>
  <si>
    <t>CONTRATO No.</t>
  </si>
  <si>
    <t>CONDICIONES GENERALES DEL CONTRATO</t>
  </si>
  <si>
    <t>DEL INICIO DE LA EJECUCIÓN CONTRACTUAL</t>
  </si>
  <si>
    <t>FECHA DE INICIO</t>
  </si>
  <si>
    <t>FECHA TERMINACIÓN</t>
  </si>
  <si>
    <t>FECHA DE SUSCRIPCIÓN</t>
  </si>
  <si>
    <t xml:space="preserve">PLAN DE PAGOS </t>
  </si>
  <si>
    <t>DESIGNACIÓN SUPERVISIÓN</t>
  </si>
  <si>
    <t>LIBERACIÓN</t>
  </si>
  <si>
    <t xml:space="preserve">PLAZO </t>
  </si>
  <si>
    <t>VALOR ESTIMADO</t>
  </si>
  <si>
    <t xml:space="preserve">TOMADO DE LA MINUTA CONTRACTUAL </t>
  </si>
  <si>
    <t>REQUISITOS DE PERFECCIONAMIENTO Y EJECUCIÓN</t>
  </si>
  <si>
    <t>FECHA DE DESIGNACIÓN</t>
  </si>
  <si>
    <t xml:space="preserve">NOMBRE DE QUIEN EJERCE EL CARGO </t>
  </si>
  <si>
    <t>CARGO DE QUIEN EJERCE LA SUPERVISIÓN</t>
  </si>
  <si>
    <t>POR EL CONTRATISTA</t>
  </si>
  <si>
    <t xml:space="preserve">FIRMA </t>
  </si>
  <si>
    <t xml:space="preserve">NOMBRE COMPLETO </t>
  </si>
  <si>
    <t xml:space="preserve">NÚMERO DEL DOCUMENTO DE IDENTIDAD </t>
  </si>
  <si>
    <t xml:space="preserve">POR LA SUPERSUBSIDIO - SUPERVISOR </t>
  </si>
  <si>
    <t>Proyección</t>
  </si>
  <si>
    <t>PROYECCION PLAN DE PAGOS</t>
  </si>
  <si>
    <t>Días</t>
  </si>
  <si>
    <t>VALOR DEL CONTRATO</t>
  </si>
  <si>
    <t>PLAZO EN DIAS</t>
  </si>
  <si>
    <r>
      <rPr>
        <sz val="11"/>
        <color theme="1"/>
        <rFont val="Arial"/>
        <family val="2"/>
      </rPr>
      <t>Solo modifique días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Wingdings 3"/>
        <family val="1"/>
        <charset val="2"/>
      </rPr>
      <t>K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</si>
  <si>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</si>
  <si>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</si>
  <si>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</si>
  <si>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</si>
  <si>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</si>
  <si>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</si>
  <si>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</si>
  <si>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</si>
  <si>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</si>
  <si>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</si>
  <si>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</si>
  <si>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</si>
  <si>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 APLICA</t>
  </si>
  <si>
    <t>MES DE INICIO</t>
  </si>
  <si>
    <t>SSF CPS XXXXX DE XXXXX</t>
  </si>
  <si>
    <t>Valor</t>
  </si>
  <si>
    <t>NOTA:</t>
  </si>
  <si>
    <t>En caso de que exista liberación de recursos con ocasión a la fecha de  inicio de ejecución de la presente contratación, el supervisor procederá con los trámites y modificaciones contractuales pertinentes, en cuento al valor del contrato y plazo contractual .</t>
  </si>
  <si>
    <t>ACTA DE INICIO DE EJECUCIÓN CONTRACTUAL PARA CONTRATOS DE PRESTACIÓN DE SERVICIOS PROFESIONALES O APOYO A LA GESTIÓN</t>
  </si>
  <si>
    <t>CERTIFICADO</t>
  </si>
  <si>
    <t>CURSO VIRTUAL DE INTEGRIDAD, TRANSPARENCIA Y LUCHA CONTRA LA CORRUPCIÓN</t>
  </si>
  <si>
    <t>INDICAR LA FECHA DE SUSCRIPCIÓN DEL CONTRATO EN SECOP</t>
  </si>
  <si>
    <t>DE LA LIBERACIÓN DE RECURSOS</t>
  </si>
  <si>
    <r>
      <t xml:space="preserve">Se expide en Bogotá D.C., el </t>
    </r>
    <r>
      <rPr>
        <sz val="11"/>
        <color theme="4"/>
        <rFont val="Arial"/>
        <family val="2"/>
      </rPr>
      <t>DD/MM/AAAA</t>
    </r>
  </si>
  <si>
    <t>INDICAR LA FECHA</t>
  </si>
  <si>
    <t>INDICAR LA ULTIMA FECHA EN QUE SE CUMPLEN TODOS  REQUISITOS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</si>
</sst>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,##0.00_ ;[Red]\-#,##0.00\ "/>
    <numFmt numFmtId="165" formatCode="dddd"/>
    <numFmt numFmtId="166" formatCode="ddd\,dd\-mmm\-yy"/>
    <numFmt numFmtId="167" formatCode="#,##0.0"/>
    <numFmt numFmtId="168" formatCode="&quot;$&quot;\ #,##0"/>
    <numFmt numFmtId="169" formatCode="_-&quot;$&quot;\ * #,##0_-;\-&quot;$&quot;\ * #,##0_-;_-&quot;$&quot;\ * &quot;-&quot;??_-;_-@_-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ingdings 3"/>
      <family val="1"/>
      <charset val="2"/>
    </font>
    <font>
      <sz val="11"/>
      <color theme="1"/>
      <name val="Calibri"/>
      <family val="1"/>
      <charset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Verdan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name val="Arial"/>
      <family val="2"/>
    </font>
    <font>
      <b/>
      <sz val="11"/>
      <color rgb="FFFF0000"/>
      <name val="Wingdings 3"/>
      <family val="1"/>
      <charset val="2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4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4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3" borderId="1" xfId="0" applyNumberForma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Border="1"/>
    <xf numFmtId="164" fontId="0" fillId="3" borderId="1" xfId="0" applyNumberForma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/>
    </xf>
    <xf numFmtId="0" fontId="0" fillId="0" borderId="1" xfId="0" applyBorder="1"/>
    <xf numFmtId="0" fontId="3" fillId="0" borderId="0" xfId="0" applyFont="1"/>
    <xf numFmtId="10" fontId="4" fillId="0" borderId="0" xfId="0" applyNumberFormat="1" applyFont="1" applyAlignment="1">
      <alignment horizontal="center"/>
    </xf>
    <xf numFmtId="0" fontId="7" fillId="0" borderId="0" xfId="0" applyFont="1"/>
    <xf numFmtId="0" fontId="9" fillId="0" borderId="0" xfId="0" applyFont="1"/>
    <xf numFmtId="165" fontId="0" fillId="0" borderId="0" xfId="0" applyNumberFormat="1"/>
    <xf numFmtId="166" fontId="0" fillId="0" borderId="0" xfId="0" applyNumberFormat="1"/>
    <xf numFmtId="0" fontId="8" fillId="0" borderId="0" xfId="0" applyFont="1"/>
    <xf numFmtId="0" fontId="8" fillId="0" borderId="0" xfId="0" applyFont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" fontId="0" fillId="0" borderId="0" xfId="0" applyNumberFormat="1"/>
    <xf numFmtId="167" fontId="0" fillId="0" borderId="0" xfId="0" applyNumberFormat="1"/>
    <xf numFmtId="3" fontId="0" fillId="0" borderId="0" xfId="0" applyNumberFormat="1"/>
    <xf numFmtId="0" fontId="1" fillId="5" borderId="0" xfId="0" applyFont="1" applyFill="1" applyAlignment="1">
      <alignment horizontal="center"/>
    </xf>
    <xf numFmtId="42" fontId="0" fillId="0" borderId="1" xfId="1" applyFont="1" applyBorder="1"/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8" fontId="0" fillId="0" borderId="1" xfId="2" applyNumberFormat="1" applyFont="1" applyBorder="1"/>
    <xf numFmtId="0" fontId="0" fillId="0" borderId="0" xfId="0" applyAlignment="1">
      <alignment vertical="center" wrapText="1"/>
    </xf>
    <xf numFmtId="0" fontId="12" fillId="0" borderId="1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42" fontId="13" fillId="0" borderId="1" xfId="1" applyFont="1" applyBorder="1"/>
    <xf numFmtId="0" fontId="13" fillId="0" borderId="1" xfId="0" applyFont="1" applyBorder="1" applyAlignment="1">
      <alignment horizontal="center" vertical="center"/>
    </xf>
    <xf numFmtId="165" fontId="13" fillId="0" borderId="0" xfId="0" applyNumberFormat="1" applyFont="1"/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3" fillId="0" borderId="1" xfId="0" applyFont="1" applyBorder="1"/>
    <xf numFmtId="42" fontId="14" fillId="0" borderId="0" xfId="1" applyFont="1" applyBorder="1"/>
    <xf numFmtId="0" fontId="13" fillId="0" borderId="0" xfId="0" applyFont="1" applyAlignment="1">
      <alignment horizontal="center"/>
    </xf>
    <xf numFmtId="0" fontId="14" fillId="0" borderId="1" xfId="0" applyFont="1" applyBorder="1"/>
    <xf numFmtId="0" fontId="17" fillId="0" borderId="1" xfId="0" applyFont="1" applyBorder="1" applyAlignment="1">
      <alignment horizontal="left"/>
    </xf>
    <xf numFmtId="8" fontId="13" fillId="0" borderId="1" xfId="0" applyNumberFormat="1" applyFont="1" applyBorder="1" applyAlignment="1">
      <alignment horizontal="center" vertical="center"/>
    </xf>
    <xf numFmtId="42" fontId="13" fillId="0" borderId="5" xfId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wrapText="1"/>
    </xf>
    <xf numFmtId="0" fontId="0" fillId="6" borderId="0" xfId="0" applyFill="1" applyAlignment="1">
      <alignment horizontal="center" vertical="center" wrapText="1"/>
    </xf>
    <xf numFmtId="14" fontId="0" fillId="0" borderId="0" xfId="0" applyNumberFormat="1"/>
    <xf numFmtId="0" fontId="1" fillId="0" borderId="1" xfId="0" applyFont="1" applyBorder="1"/>
    <xf numFmtId="0" fontId="13" fillId="0" borderId="0" xfId="0" applyFont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9" borderId="19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21" fillId="0" borderId="8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3" fillId="0" borderId="12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/>
    </xf>
    <xf numFmtId="0" fontId="20" fillId="0" borderId="38" xfId="0" applyFont="1" applyBorder="1" applyAlignment="1">
      <alignment vertical="center" wrapText="1"/>
    </xf>
    <xf numFmtId="0" fontId="20" fillId="8" borderId="38" xfId="0" applyFont="1" applyFill="1" applyBorder="1" applyAlignment="1">
      <alignment horizontal="center" vertical="center"/>
    </xf>
    <xf numFmtId="0" fontId="20" fillId="0" borderId="39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169" fontId="21" fillId="0" borderId="18" xfId="2" applyNumberFormat="1" applyFont="1" applyBorder="1" applyAlignment="1">
      <alignment horizontal="center" vertical="center"/>
    </xf>
    <xf numFmtId="169" fontId="21" fillId="0" borderId="0" xfId="2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0" fillId="8" borderId="16" xfId="0" applyFont="1" applyFill="1" applyBorder="1" applyAlignment="1">
      <alignment horizontal="center" vertical="center"/>
    </xf>
    <xf numFmtId="0" fontId="20" fillId="8" borderId="22" xfId="0" applyFont="1" applyFill="1" applyBorder="1" applyAlignment="1">
      <alignment horizontal="center" vertical="center"/>
    </xf>
    <xf numFmtId="0" fontId="20" fillId="0" borderId="7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0" fillId="11" borderId="12" xfId="0" applyFont="1" applyFill="1" applyBorder="1" applyAlignment="1">
      <alignment horizontal="center" vertical="center" wrapText="1"/>
    </xf>
    <xf numFmtId="0" fontId="20" fillId="11" borderId="13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9" borderId="18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0" fontId="20" fillId="10" borderId="27" xfId="0" applyFont="1" applyFill="1" applyBorder="1" applyAlignment="1">
      <alignment horizontal="center" vertical="center" wrapText="1"/>
    </xf>
    <xf numFmtId="0" fontId="20" fillId="10" borderId="11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42" fontId="21" fillId="0" borderId="18" xfId="0" applyNumberFormat="1" applyFont="1" applyBorder="1" applyAlignment="1">
      <alignment horizontal="center" vertical="center" wrapText="1"/>
    </xf>
    <xf numFmtId="42" fontId="21" fillId="0" borderId="0" xfId="0" applyNumberFormat="1" applyFont="1" applyAlignment="1">
      <alignment horizontal="center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42" fontId="21" fillId="0" borderId="18" xfId="0" applyNumberFormat="1" applyFont="1" applyBorder="1" applyAlignment="1">
      <alignment horizontal="center" vertical="center"/>
    </xf>
    <xf numFmtId="42" fontId="21" fillId="0" borderId="0" xfId="0" applyNumberFormat="1" applyFont="1" applyAlignment="1">
      <alignment horizontal="center" vertical="center"/>
    </xf>
    <xf numFmtId="0" fontId="20" fillId="10" borderId="12" xfId="0" applyFont="1" applyFill="1" applyBorder="1" applyAlignment="1">
      <alignment horizontal="center" vertical="center" wrapText="1"/>
    </xf>
    <xf numFmtId="0" fontId="20" fillId="10" borderId="13" xfId="0" applyFont="1" applyFill="1" applyBorder="1" applyAlignment="1">
      <alignment horizontal="center" vertical="center" wrapText="1"/>
    </xf>
    <xf numFmtId="0" fontId="20" fillId="10" borderId="14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</cellXfs>
  <cellStyles count="3">
    <cellStyle name="Moneda" xfId="2" builtinId="4"/>
    <cellStyle name="Moneda [0]" xfId="1" builtinId="7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421802</xdr:colOff>
      <xdr:row>0</xdr:row>
      <xdr:rowOff>61071</xdr:rowOff>
    </xdr:from>
    <xdr:to>
      <xdr:col>1</xdr:col>
      <xdr:colOff>1832493</xdr:colOff>
      <xdr:row>0</xdr:row>
      <xdr:rowOff>779722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EC2F39-C692-B582-532B-53CEF3CCA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077" y="61071"/>
          <a:ext cx="1410691" cy="730081"/>
        </a:xfrm>
        <a:prstGeom prst="rect">
          <a:avLst/>
        </a:prstGeom>
      </xdr:spPr>
    </xdr:pic>
    <xdr:clientData/>
  </xdr:twoCellAnchor>
  <xdr:twoCellAnchor>
    <xdr:from>
      <xdr:col>3</xdr:col>
      <xdr:colOff>2798885</xdr:colOff>
      <xdr:row>0</xdr:row>
      <xdr:rowOff>674077</xdr:rowOff>
    </xdr:from>
    <xdr:to>
      <xdr:col>4</xdr:col>
      <xdr:colOff>703385</xdr:colOff>
      <xdr:row>1</xdr:row>
      <xdr:rowOff>29308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9859EA-5FE2-4D1C-A40F-E22CA37F4726}"/>
            </a:ext>
          </a:extLst>
        </xdr:cNvPr>
        <xdr:cNvSpPr txBox="1"/>
      </xdr:nvSpPr>
      <xdr:spPr>
        <a:xfrm>
          <a:off x="6689481" y="674077"/>
          <a:ext cx="1502019" cy="241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800"/>
            <a:t>Código: FO-CAD-036;</a:t>
          </a:r>
          <a:r>
            <a:rPr lang="es-CO" sz="800" baseline="0"/>
            <a:t> Versión: 1</a:t>
          </a:r>
          <a:endParaRPr lang="es-CO" sz="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8"/>
  <sheetViews>
    <sheetView workbookViewId="0">
      <selection activeCell="C18" sqref="C18"/>
    </sheetView>
  </sheetViews>
  <sheetFormatPr baseColWidth="10" defaultColWidth="11.42578125" defaultRowHeight="15"/>
  <cols>
    <col min="1" max="1" width="8.28515625" customWidth="1"/>
    <col min="2" max="2" width="21.85546875" customWidth="1"/>
    <col min="3" max="3" width="18.28515625" customWidth="1"/>
    <col min="4" max="4" width="15.5703125" customWidth="1"/>
    <col min="5" max="5" width="16" customWidth="1"/>
    <col min="6" max="6" width="17.7109375" customWidth="1"/>
    <col min="7" max="8" width="18.42578125" customWidth="1"/>
  </cols>
  <sheetData>
    <row r="3" spans="2:10" ht="18.75">
      <c r="B3" s="16" t="s">
        <v>0</v>
      </c>
    </row>
    <row r="4" spans="2:10">
      <c r="B4" s="3" t="s">
        <v>1</v>
      </c>
      <c r="C4" s="4" t="s">
        <v>2</v>
      </c>
      <c r="D4" s="5" t="s">
        <v>3</v>
      </c>
      <c r="E4" s="4" t="s">
        <v>4</v>
      </c>
      <c r="F4" s="12" t="s">
        <v>5</v>
      </c>
      <c r="G4" s="4" t="s">
        <v>6</v>
      </c>
      <c r="H4" s="5" t="s">
        <v>7</v>
      </c>
      <c r="I4" s="12" t="s">
        <v>8</v>
      </c>
      <c r="J4" s="12" t="s">
        <v>9</v>
      </c>
    </row>
    <row r="5" spans="2:10">
      <c r="B5" s="1">
        <v>2018</v>
      </c>
      <c r="C5" s="6"/>
      <c r="D5" s="7"/>
      <c r="E5" s="6"/>
      <c r="F5" s="13">
        <f>+C5+D5-E5</f>
        <v>0</v>
      </c>
      <c r="G5" s="6"/>
      <c r="H5" s="11">
        <f>+F5-G5</f>
        <v>0</v>
      </c>
      <c r="I5" s="15"/>
      <c r="J5" s="15"/>
    </row>
    <row r="6" spans="2:10">
      <c r="B6" s="1">
        <f>+B5+1</f>
        <v>2019</v>
      </c>
      <c r="C6" s="6"/>
      <c r="D6" s="7"/>
      <c r="E6" s="6"/>
      <c r="F6" s="13">
        <f t="shared" ref="F6:F9" si="0">+C6+D6-E6</f>
        <v>0</v>
      </c>
      <c r="G6" s="6"/>
      <c r="H6" s="11">
        <f t="shared" ref="H6:H9" si="1">+F6-G6</f>
        <v>0</v>
      </c>
      <c r="I6" s="15"/>
      <c r="J6" s="15"/>
    </row>
    <row r="7" spans="2:10">
      <c r="B7" s="1">
        <f>+B6+1</f>
        <v>2020</v>
      </c>
      <c r="C7" s="6">
        <v>100</v>
      </c>
      <c r="D7" s="7"/>
      <c r="E7" s="6"/>
      <c r="F7" s="13">
        <f t="shared" ref="F7:F8" si="2">+C7+D7-E7</f>
        <v>100</v>
      </c>
      <c r="G7" s="6"/>
      <c r="H7" s="11">
        <f t="shared" ref="H7:H8" si="3">+F7-G7</f>
        <v>100</v>
      </c>
      <c r="I7" s="15"/>
      <c r="J7" s="15"/>
    </row>
    <row r="8" spans="2:10">
      <c r="B8" s="1">
        <f t="shared" ref="B8:B9" si="4">+B7+1</f>
        <v>2021</v>
      </c>
      <c r="C8" s="6"/>
      <c r="D8" s="7"/>
      <c r="E8" s="6"/>
      <c r="F8" s="13">
        <f t="shared" si="2"/>
        <v>0</v>
      </c>
      <c r="G8" s="6"/>
      <c r="H8" s="11">
        <f t="shared" si="3"/>
        <v>0</v>
      </c>
      <c r="I8" s="15"/>
      <c r="J8" s="15"/>
    </row>
    <row r="9" spans="2:10">
      <c r="B9" s="1">
        <f t="shared" si="4"/>
        <v>2022</v>
      </c>
      <c r="C9" s="6"/>
      <c r="D9" s="7"/>
      <c r="E9" s="6"/>
      <c r="F9" s="13">
        <f t="shared" si="0"/>
        <v>0</v>
      </c>
      <c r="G9" s="6"/>
      <c r="H9" s="11">
        <f t="shared" si="1"/>
        <v>0</v>
      </c>
      <c r="I9" s="15"/>
      <c r="J9" s="15"/>
    </row>
    <row r="10" spans="2:10">
      <c r="B10" s="2" t="s">
        <v>10</v>
      </c>
      <c r="C10" s="8">
        <f t="shared" ref="C10:H10" si="5">SUM(C5:C9)</f>
        <v>100</v>
      </c>
      <c r="D10" s="8">
        <f t="shared" si="5"/>
        <v>0</v>
      </c>
      <c r="E10" s="8">
        <f t="shared" si="5"/>
        <v>0</v>
      </c>
      <c r="F10" s="14">
        <f t="shared" si="5"/>
        <v>100</v>
      </c>
      <c r="G10" s="8">
        <f t="shared" si="5"/>
        <v>0</v>
      </c>
      <c r="H10" s="8">
        <f t="shared" si="5"/>
        <v>100</v>
      </c>
    </row>
    <row r="11" spans="2:10">
      <c r="H11" t="s">
        <v>11</v>
      </c>
    </row>
    <row r="12" spans="2:10">
      <c r="B12" s="1" t="s">
        <v>12</v>
      </c>
      <c r="C12" s="6">
        <v>0</v>
      </c>
    </row>
    <row r="13" spans="2:10">
      <c r="B13" s="1" t="s">
        <v>13</v>
      </c>
      <c r="C13" s="6">
        <v>50</v>
      </c>
    </row>
    <row r="14" spans="2:10">
      <c r="B14" s="1" t="s">
        <v>14</v>
      </c>
      <c r="C14" s="6">
        <v>0</v>
      </c>
    </row>
    <row r="16" spans="2:10">
      <c r="B16" s="2" t="s">
        <v>15</v>
      </c>
      <c r="C16" s="8">
        <f>+F10+C12+C13+C14</f>
        <v>150</v>
      </c>
      <c r="D16" s="18" t="s">
        <v>16</v>
      </c>
    </row>
    <row r="18" spans="2:4" ht="15.75">
      <c r="B18" s="9" t="s">
        <v>17</v>
      </c>
      <c r="C18" s="17">
        <f>IFERROR((C12+C13+C14+D10)/C10,"")</f>
        <v>0.5</v>
      </c>
      <c r="D18" s="10" t="str">
        <f>IFERROR(IF(((C12+C13+C14+D10)/C10)&gt;50%,"no puede superar 50%","ok"),"")</f>
        <v>ok</v>
      </c>
    </row>
  </sheetData>
  <dataValidations count="2">
    <dataValidation type="decimal" allowBlank="1" showInputMessage="1" showErrorMessage="1" error="Registrar como valor positivo" sqref="E5:E9" xr:uid="{00000000-0002-0000-0000-000000000000}">
      <formula1>0</formula1>
      <formula2>1000000000000</formula2>
    </dataValidation>
    <dataValidation type="decimal" allowBlank="1" showInputMessage="1" showErrorMessage="1" error="Registrar positivos" sqref="G5:G9" xr:uid="{00000000-0002-0000-0000-000001000000}">
      <formula1>0</formula1>
      <formula2>1000000000000</formula2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zoomScale="103" zoomScaleNormal="70" zoomScaleSheetLayoutView="93" workbookViewId="0">
      <selection activeCell="C5" sqref="C5"/>
    </sheetView>
  </sheetViews>
  <sheetFormatPr baseColWidth="10" defaultColWidth="0" defaultRowHeight="15" zeroHeight="1"/>
  <cols>
    <col min="1" max="1" width="10.28515625" customWidth="1"/>
    <col min="2" max="2" width="35.7109375" customWidth="1"/>
    <col min="3" max="3" width="24.28515625" customWidth="1"/>
    <col min="4" max="4" width="44.7109375" customWidth="1"/>
    <col min="5" max="5" width="17.5703125" customWidth="1"/>
    <col min="6" max="6" width="14.85546875" hidden="1" customWidth="1"/>
    <col min="7" max="7" width="17.7109375" hidden="1" customWidth="1"/>
    <col min="8" max="8" width="16.5703125" hidden="1" customWidth="1"/>
    <col min="9" max="10" width="11.42578125" hidden="1" customWidth="1"/>
    <col min="11" max="11" width="11.7109375" hidden="1" customWidth="1"/>
    <col min="12" max="12" width="13.140625" hidden="1" customWidth="1"/>
    <col min="13" max="13" width="12.5703125" hidden="1" customWidth="1"/>
    <col min="14" max="14" width="15.7109375" hidden="1" customWidth="1"/>
    <col min="15" max="16" width="11.42578125" hidden="1" customWidth="1"/>
    <col min="17" max="17" width="13.28515625" hidden="1" customWidth="1"/>
    <col min="18" max="18" width="13" hidden="1" customWidth="1"/>
    <col min="19" max="16384" width="11.42578125" hidden="1"/>
  </cols>
  <sheetData>
    <row r="1" spans="2:18" ht="24.6" customHeight="1" thickBot="1">
      <c r="B1" s="80" t="s">
        <v>122</v>
      </c>
      <c r="C1" s="81"/>
      <c r="D1" s="81"/>
      <c r="E1" s="82"/>
      <c r="F1" s="42"/>
      <c r="G1" s="41"/>
    </row>
    <row r="2" spans="2:18"/>
    <row r="3" spans="2:18" ht="21">
      <c r="B3" s="19"/>
      <c r="K3" s="25" t="s">
        <v>18</v>
      </c>
      <c r="L3" s="25" t="s">
        <v>19</v>
      </c>
      <c r="M3" s="25" t="s">
        <v>20</v>
      </c>
      <c r="N3" s="29" t="s">
        <v>21</v>
      </c>
      <c r="O3" s="25" t="s">
        <v>22</v>
      </c>
      <c r="Q3" s="25" t="s">
        <v>23</v>
      </c>
      <c r="R3" s="25" t="s">
        <v>24</v>
      </c>
    </row>
    <row r="4" spans="2:18">
      <c r="B4" s="57" t="s">
        <v>85</v>
      </c>
      <c r="C4" s="58" t="s">
        <v>68</v>
      </c>
      <c r="D4" s="43"/>
      <c r="E4" s="43"/>
      <c r="K4" s="28">
        <v>1900000</v>
      </c>
      <c r="L4" s="26">
        <f t="shared" ref="L4:L41" si="0">+K4/30</f>
        <v>63333.333333333336</v>
      </c>
      <c r="M4" s="27">
        <f t="shared" ref="M4:M41" si="1">ROUNDUP(L4,-2)</f>
        <v>63400</v>
      </c>
      <c r="N4" s="28">
        <f t="shared" ref="N4:N41" si="2">+M4*30</f>
        <v>1902000</v>
      </c>
      <c r="O4" s="28">
        <f t="shared" ref="O4:O41" si="3">+N4-K4</f>
        <v>2000</v>
      </c>
      <c r="Q4" s="26">
        <f t="shared" ref="Q4:Q41" si="4">+N4/1.19</f>
        <v>1598319.3277310925</v>
      </c>
      <c r="R4" s="26">
        <f t="shared" ref="R4:R41" si="5">+Q4*0.19</f>
        <v>303680.6722689076</v>
      </c>
    </row>
    <row r="5" spans="2:18">
      <c r="B5" s="57" t="s">
        <v>26</v>
      </c>
      <c r="C5" s="59"/>
      <c r="D5" s="43"/>
      <c r="E5" s="43"/>
      <c r="G5" s="24" t="s">
        <v>25</v>
      </c>
      <c r="K5" s="28">
        <v>1931000</v>
      </c>
      <c r="L5" s="26">
        <f t="shared" si="0"/>
        <v>64366.666666666664</v>
      </c>
      <c r="M5" s="27">
        <f t="shared" si="1"/>
        <v>64400</v>
      </c>
      <c r="N5" s="28">
        <f t="shared" si="2"/>
        <v>1932000</v>
      </c>
      <c r="O5" s="28">
        <f t="shared" si="3"/>
        <v>1000</v>
      </c>
      <c r="Q5" s="26">
        <f t="shared" si="4"/>
        <v>1623529.411764706</v>
      </c>
      <c r="R5" s="26">
        <f t="shared" si="5"/>
        <v>308470.58823529416</v>
      </c>
    </row>
    <row r="6" spans="2:18">
      <c r="B6" s="60" t="s">
        <v>86</v>
      </c>
      <c r="C6" s="46"/>
      <c r="D6" s="43"/>
      <c r="E6" s="43"/>
      <c r="G6" s="30">
        <f>+ROUND(C5/30,0)</f>
        <v>0</v>
      </c>
      <c r="K6" s="28">
        <v>2032000</v>
      </c>
      <c r="L6" s="26">
        <f t="shared" si="0"/>
        <v>67733.333333333328</v>
      </c>
      <c r="M6" s="27">
        <f t="shared" si="1"/>
        <v>67800</v>
      </c>
      <c r="N6" s="28">
        <f t="shared" si="2"/>
        <v>2034000</v>
      </c>
      <c r="O6" s="28">
        <f t="shared" si="3"/>
        <v>2000</v>
      </c>
      <c r="P6" t="s">
        <v>27</v>
      </c>
      <c r="Q6" s="26">
        <f t="shared" si="4"/>
        <v>1709243.6974789917</v>
      </c>
      <c r="R6" s="26">
        <f t="shared" si="5"/>
        <v>324756.30252100842</v>
      </c>
    </row>
    <row r="7" spans="2:18" ht="15" customHeight="1">
      <c r="B7" s="63" t="s">
        <v>140</v>
      </c>
      <c r="C7" s="48" t="s">
        <v>127</v>
      </c>
      <c r="D7" s="43"/>
      <c r="E7" s="43"/>
      <c r="K7" s="28">
        <v>2282786</v>
      </c>
      <c r="L7" s="26">
        <f t="shared" si="0"/>
        <v>76092.866666666669</v>
      </c>
      <c r="M7" s="27">
        <f t="shared" si="1"/>
        <v>76100</v>
      </c>
      <c r="N7" s="28">
        <f t="shared" si="2"/>
        <v>2283000</v>
      </c>
      <c r="O7" s="28">
        <f t="shared" si="3"/>
        <v>214</v>
      </c>
      <c r="P7" t="s">
        <v>28</v>
      </c>
      <c r="Q7" s="26">
        <f t="shared" si="4"/>
        <v>1918487.3949579832</v>
      </c>
      <c r="R7" s="26">
        <f t="shared" si="5"/>
        <v>364512.60504201683</v>
      </c>
    </row>
    <row r="8" spans="2:18">
      <c r="K8" s="28">
        <v>2540000</v>
      </c>
      <c r="L8" s="26">
        <f t="shared" si="0"/>
        <v>84666.666666666672</v>
      </c>
      <c r="M8" s="27">
        <f t="shared" si="1"/>
        <v>84700</v>
      </c>
      <c r="N8" s="28">
        <f t="shared" si="2"/>
        <v>2541000</v>
      </c>
      <c r="O8" s="28">
        <f t="shared" si="3"/>
        <v>1000</v>
      </c>
      <c r="Q8" s="26">
        <f t="shared" si="4"/>
        <v>2135294.1176470588</v>
      </c>
      <c r="R8" s="26">
        <f t="shared" si="5"/>
        <v>405705.8823529412</v>
      </c>
    </row>
    <row r="9" spans="2:18">
      <c r="K9" s="28">
        <v>2600000</v>
      </c>
      <c r="L9" s="26">
        <f t="shared" si="0"/>
        <v>86666.666666666672</v>
      </c>
      <c r="M9" s="27">
        <f t="shared" si="1"/>
        <v>86700</v>
      </c>
      <c r="N9" s="28">
        <f t="shared" si="2"/>
        <v>2601000</v>
      </c>
      <c r="O9" s="28">
        <f t="shared" si="3"/>
        <v>1000</v>
      </c>
      <c r="Q9" s="26">
        <f t="shared" si="4"/>
        <v>2185714.2857142859</v>
      </c>
      <c r="R9" s="26">
        <f t="shared" si="5"/>
        <v>415285.71428571432</v>
      </c>
    </row>
    <row r="10" spans="2:18" ht="30">
      <c r="C10" s="61" t="s">
        <v>126</v>
      </c>
      <c r="E10" s="62"/>
      <c r="G10" s="23"/>
      <c r="H10" s="22"/>
      <c r="K10" s="28">
        <v>2642000</v>
      </c>
      <c r="L10" s="26">
        <f t="shared" si="0"/>
        <v>88066.666666666672</v>
      </c>
      <c r="M10" s="27">
        <f t="shared" si="1"/>
        <v>88100</v>
      </c>
      <c r="N10" s="28">
        <f t="shared" si="2"/>
        <v>2643000</v>
      </c>
      <c r="O10" s="28">
        <f t="shared" si="3"/>
        <v>1000</v>
      </c>
      <c r="Q10" s="26">
        <f t="shared" si="4"/>
        <v>2221008.4033613447</v>
      </c>
      <c r="R10" s="26">
        <f t="shared" si="5"/>
        <v>421991.59663865552</v>
      </c>
    </row>
    <row r="11" spans="2:18">
      <c r="B11" s="44" t="s">
        <v>29</v>
      </c>
      <c r="C11" s="44" t="s">
        <v>123</v>
      </c>
      <c r="D11" s="44" t="s">
        <v>30</v>
      </c>
      <c r="E11" s="45"/>
      <c r="F11" s="23"/>
      <c r="H11" s="21"/>
      <c r="K11" s="28">
        <v>2743000</v>
      </c>
      <c r="L11" s="26">
        <f t="shared" si="0"/>
        <v>91433.333333333328</v>
      </c>
      <c r="M11" s="27">
        <f t="shared" si="1"/>
        <v>91500</v>
      </c>
      <c r="N11" s="28">
        <f t="shared" si="2"/>
        <v>2745000</v>
      </c>
      <c r="O11" s="28">
        <f t="shared" si="3"/>
        <v>2000</v>
      </c>
      <c r="Q11" s="26">
        <f t="shared" si="4"/>
        <v>2306722.6890756302</v>
      </c>
      <c r="R11" s="26">
        <f t="shared" si="5"/>
        <v>438277.31092436973</v>
      </c>
    </row>
    <row r="12" spans="2:18" ht="18.75" customHeight="1">
      <c r="B12" s="46" t="str">
        <f>VLOOKUP($G$31,$F$34:$G$46,2)</f>
        <v>ENERO</v>
      </c>
      <c r="C12" s="46">
        <f>30-C6+1</f>
        <v>31</v>
      </c>
      <c r="D12" s="47">
        <f t="shared" ref="D12:D23" si="6">IFERROR((ROUND($C$5/30*G12,0)),"")</f>
        <v>0</v>
      </c>
      <c r="E12" s="43"/>
      <c r="G12" t="str">
        <f t="shared" ref="G12:G23" si="7">IF(C12=31,"30",(C12))</f>
        <v>30</v>
      </c>
      <c r="H12" s="21"/>
      <c r="K12" s="28">
        <v>3048000</v>
      </c>
      <c r="L12" s="26">
        <f t="shared" si="0"/>
        <v>101600</v>
      </c>
      <c r="M12" s="27">
        <f t="shared" si="1"/>
        <v>101600</v>
      </c>
      <c r="N12" s="28">
        <f t="shared" si="2"/>
        <v>3048000</v>
      </c>
      <c r="O12" s="28">
        <f t="shared" si="3"/>
        <v>0</v>
      </c>
      <c r="Q12" s="26">
        <f t="shared" si="4"/>
        <v>2561344.5378151261</v>
      </c>
      <c r="R12" s="26">
        <f t="shared" si="5"/>
        <v>486655.46218487399</v>
      </c>
    </row>
    <row r="13" spans="2:18" ht="18.75" customHeight="1">
      <c r="B13" s="46" t="str">
        <f>VLOOKUP($G$31+1,$F$34:$G$46,2)</f>
        <v>FEBRERO</v>
      </c>
      <c r="C13" s="46"/>
      <c r="D13" s="47">
        <f t="shared" si="6"/>
        <v>0</v>
      </c>
      <c r="E13" s="49"/>
      <c r="F13" s="20"/>
      <c r="G13">
        <f>IF(C13=31,"30",(C13))</f>
        <v>0</v>
      </c>
      <c r="H13" s="21"/>
      <c r="K13" s="28">
        <v>3353000</v>
      </c>
      <c r="L13" s="26">
        <f t="shared" si="0"/>
        <v>111766.66666666667</v>
      </c>
      <c r="M13" s="27">
        <f t="shared" si="1"/>
        <v>111800</v>
      </c>
      <c r="N13" s="28">
        <f t="shared" si="2"/>
        <v>3354000</v>
      </c>
      <c r="O13" s="28">
        <f t="shared" si="3"/>
        <v>1000</v>
      </c>
      <c r="Q13" s="26">
        <f t="shared" si="4"/>
        <v>2818487.3949579834</v>
      </c>
      <c r="R13" s="26">
        <f t="shared" si="5"/>
        <v>535512.60504201683</v>
      </c>
    </row>
    <row r="14" spans="2:18" ht="18.75" customHeight="1">
      <c r="B14" s="46" t="str">
        <f>VLOOKUP($G$31+2,$F$34:$G$46,2)</f>
        <v>MARZO</v>
      </c>
      <c r="C14" s="46"/>
      <c r="D14" s="47">
        <f t="shared" si="6"/>
        <v>0</v>
      </c>
      <c r="E14" s="49"/>
      <c r="F14" s="20"/>
      <c r="G14">
        <f t="shared" si="7"/>
        <v>0</v>
      </c>
      <c r="H14" s="21"/>
      <c r="K14" s="28">
        <v>3500000</v>
      </c>
      <c r="L14" s="26">
        <f t="shared" si="0"/>
        <v>116666.66666666667</v>
      </c>
      <c r="M14" s="27">
        <f t="shared" si="1"/>
        <v>116700</v>
      </c>
      <c r="N14" s="28">
        <f t="shared" si="2"/>
        <v>3501000</v>
      </c>
      <c r="O14" s="28">
        <f t="shared" si="3"/>
        <v>1000</v>
      </c>
      <c r="Q14" s="26">
        <f t="shared" si="4"/>
        <v>2942016.8067226894</v>
      </c>
      <c r="R14" s="26">
        <f t="shared" si="5"/>
        <v>558983.19327731105</v>
      </c>
    </row>
    <row r="15" spans="2:18" ht="18.75" customHeight="1">
      <c r="B15" s="46" t="str">
        <f>VLOOKUP($G$31+3,$F$34:$G$46,2)</f>
        <v>ABRIL</v>
      </c>
      <c r="C15" s="46"/>
      <c r="D15" s="47">
        <f t="shared" si="6"/>
        <v>0</v>
      </c>
      <c r="E15" s="49"/>
      <c r="F15" s="20"/>
      <c r="G15">
        <f t="shared" si="7"/>
        <v>0</v>
      </c>
      <c r="H15" s="21"/>
      <c r="K15" s="28">
        <v>3659000</v>
      </c>
      <c r="L15" s="26">
        <f t="shared" si="0"/>
        <v>121966.66666666667</v>
      </c>
      <c r="M15" s="27">
        <f t="shared" si="1"/>
        <v>122000</v>
      </c>
      <c r="N15" s="28">
        <f t="shared" si="2"/>
        <v>3660000</v>
      </c>
      <c r="O15" s="28">
        <f t="shared" si="3"/>
        <v>1000</v>
      </c>
      <c r="Q15" s="26">
        <f t="shared" si="4"/>
        <v>3075630.2521008407</v>
      </c>
      <c r="R15" s="26">
        <f t="shared" si="5"/>
        <v>584369.74789915979</v>
      </c>
    </row>
    <row r="16" spans="2:18" ht="18.75" customHeight="1">
      <c r="B16" s="46" t="str">
        <f>VLOOKUP($G$31+4,$F$34:$G$46,2)</f>
        <v>MAYO</v>
      </c>
      <c r="C16" s="46"/>
      <c r="D16" s="47">
        <f t="shared" si="6"/>
        <v>0</v>
      </c>
      <c r="E16" s="49"/>
      <c r="F16" s="20"/>
      <c r="G16">
        <f t="shared" si="7"/>
        <v>0</v>
      </c>
      <c r="H16" s="21"/>
      <c r="K16" s="28">
        <v>3963000</v>
      </c>
      <c r="L16" s="26">
        <f t="shared" si="0"/>
        <v>132100</v>
      </c>
      <c r="M16" s="27">
        <f t="shared" si="1"/>
        <v>132100</v>
      </c>
      <c r="N16" s="28">
        <f t="shared" si="2"/>
        <v>3963000</v>
      </c>
      <c r="O16" s="28">
        <f t="shared" si="3"/>
        <v>0</v>
      </c>
      <c r="Q16" s="26">
        <f t="shared" si="4"/>
        <v>3330252.1008403362</v>
      </c>
      <c r="R16" s="26">
        <f t="shared" si="5"/>
        <v>632747.89915966394</v>
      </c>
    </row>
    <row r="17" spans="2:18" ht="18.75" customHeight="1">
      <c r="B17" s="46" t="str">
        <f>VLOOKUP($G$31+5,$F$34:$G$46,2)</f>
        <v>JUNIO</v>
      </c>
      <c r="C17" s="46"/>
      <c r="D17" s="47">
        <f t="shared" si="6"/>
        <v>0</v>
      </c>
      <c r="E17" s="49"/>
      <c r="F17" s="20"/>
      <c r="G17">
        <f t="shared" si="7"/>
        <v>0</v>
      </c>
      <c r="H17" s="21"/>
      <c r="K17" s="28">
        <v>4064400</v>
      </c>
      <c r="L17" s="26">
        <f t="shared" si="0"/>
        <v>135480</v>
      </c>
      <c r="M17" s="27">
        <f t="shared" si="1"/>
        <v>135500</v>
      </c>
      <c r="N17" s="28">
        <f t="shared" si="2"/>
        <v>4065000</v>
      </c>
      <c r="O17" s="28">
        <f t="shared" si="3"/>
        <v>600</v>
      </c>
      <c r="P17" t="s">
        <v>28</v>
      </c>
      <c r="Q17" s="26">
        <f t="shared" si="4"/>
        <v>3415966.3865546221</v>
      </c>
      <c r="R17" s="26">
        <f t="shared" si="5"/>
        <v>649033.61344537826</v>
      </c>
    </row>
    <row r="18" spans="2:18" ht="18.75" customHeight="1">
      <c r="B18" s="46" t="str">
        <f>VLOOKUP($G$31+6,$F$34:$G$46,2)</f>
        <v>JULIO</v>
      </c>
      <c r="C18" s="46"/>
      <c r="D18" s="47">
        <f t="shared" si="6"/>
        <v>0</v>
      </c>
      <c r="E18" s="49"/>
      <c r="F18" s="20"/>
      <c r="G18">
        <f t="shared" si="7"/>
        <v>0</v>
      </c>
      <c r="H18" s="21"/>
      <c r="K18" s="28">
        <v>4275000</v>
      </c>
      <c r="L18" s="26">
        <f t="shared" si="0"/>
        <v>142500</v>
      </c>
      <c r="M18" s="27">
        <f t="shared" si="1"/>
        <v>142500</v>
      </c>
      <c r="N18" s="28">
        <f t="shared" si="2"/>
        <v>4275000</v>
      </c>
      <c r="O18" s="28">
        <f t="shared" si="3"/>
        <v>0</v>
      </c>
      <c r="Q18" s="26">
        <f t="shared" si="4"/>
        <v>3592436.9747899161</v>
      </c>
      <c r="R18" s="26">
        <f t="shared" si="5"/>
        <v>682563.02521008404</v>
      </c>
    </row>
    <row r="19" spans="2:18" ht="18.75" customHeight="1">
      <c r="B19" s="46" t="str">
        <f>VLOOKUP($G$31+7,$F$34:$G$46,2)</f>
        <v>AGOSTO</v>
      </c>
      <c r="C19" s="46"/>
      <c r="D19" s="47">
        <f t="shared" si="6"/>
        <v>0</v>
      </c>
      <c r="E19" s="49"/>
      <c r="F19" s="20"/>
      <c r="G19">
        <f t="shared" si="7"/>
        <v>0</v>
      </c>
      <c r="H19" s="21"/>
      <c r="K19" s="28">
        <v>4500000</v>
      </c>
      <c r="L19" s="26">
        <f t="shared" si="0"/>
        <v>150000</v>
      </c>
      <c r="M19" s="27">
        <f t="shared" si="1"/>
        <v>150000</v>
      </c>
      <c r="N19" s="28">
        <f t="shared" si="2"/>
        <v>4500000</v>
      </c>
      <c r="O19" s="28">
        <f t="shared" si="3"/>
        <v>0</v>
      </c>
      <c r="Q19" s="26">
        <f t="shared" si="4"/>
        <v>3781512.6050420171</v>
      </c>
      <c r="R19" s="26">
        <f t="shared" si="5"/>
        <v>718487.39495798328</v>
      </c>
    </row>
    <row r="20" spans="2:18" ht="18.75" customHeight="1">
      <c r="B20" s="46" t="str">
        <f>VLOOKUP($G$31+8,$F$34:$G$46,2)</f>
        <v>SEPTIEMBRE</v>
      </c>
      <c r="C20" s="46"/>
      <c r="D20" s="47">
        <f t="shared" si="6"/>
        <v>0</v>
      </c>
      <c r="E20" s="49"/>
      <c r="F20" s="20"/>
      <c r="G20">
        <f t="shared" si="7"/>
        <v>0</v>
      </c>
      <c r="H20" s="21"/>
      <c r="K20" s="28">
        <v>4572000</v>
      </c>
      <c r="L20" s="26">
        <f t="shared" si="0"/>
        <v>152400</v>
      </c>
      <c r="M20" s="27">
        <f t="shared" si="1"/>
        <v>152400</v>
      </c>
      <c r="N20" s="28">
        <f t="shared" si="2"/>
        <v>4572000</v>
      </c>
      <c r="O20" s="28">
        <f t="shared" si="3"/>
        <v>0</v>
      </c>
      <c r="Q20" s="26">
        <f t="shared" si="4"/>
        <v>3842016.8067226894</v>
      </c>
      <c r="R20" s="26">
        <f t="shared" si="5"/>
        <v>729983.19327731105</v>
      </c>
    </row>
    <row r="21" spans="2:18" ht="18.75" customHeight="1">
      <c r="B21" s="46" t="str">
        <f>VLOOKUP($G$31+9,$F$34:$G$46,2)</f>
        <v>OCTUBRE</v>
      </c>
      <c r="C21" s="46"/>
      <c r="D21" s="47">
        <f t="shared" si="6"/>
        <v>0</v>
      </c>
      <c r="E21" s="49"/>
      <c r="F21" s="20"/>
      <c r="G21">
        <f t="shared" si="7"/>
        <v>0</v>
      </c>
      <c r="H21" s="21"/>
      <c r="K21" s="28">
        <v>5000000</v>
      </c>
      <c r="L21" s="26">
        <f t="shared" si="0"/>
        <v>166666.66666666666</v>
      </c>
      <c r="M21" s="27">
        <f t="shared" si="1"/>
        <v>166700</v>
      </c>
      <c r="N21" s="28">
        <f t="shared" si="2"/>
        <v>5001000</v>
      </c>
      <c r="O21" s="28">
        <f t="shared" si="3"/>
        <v>1000</v>
      </c>
      <c r="Q21" s="26">
        <f t="shared" si="4"/>
        <v>4202521.0084033618</v>
      </c>
      <c r="R21" s="26">
        <f t="shared" si="5"/>
        <v>798478.99159663869</v>
      </c>
    </row>
    <row r="22" spans="2:18" ht="18.75" customHeight="1">
      <c r="B22" s="46" t="str">
        <f>VLOOKUP($G$31+10,$F$34:$G$46,2)</f>
        <v>NOVIEMBRE</v>
      </c>
      <c r="C22" s="46"/>
      <c r="D22" s="47">
        <f t="shared" si="6"/>
        <v>0</v>
      </c>
      <c r="E22" s="49"/>
      <c r="F22" s="20"/>
      <c r="G22">
        <f t="shared" si="7"/>
        <v>0</v>
      </c>
      <c r="H22" s="21"/>
      <c r="K22" s="28">
        <v>5100000</v>
      </c>
      <c r="L22" s="26">
        <f t="shared" si="0"/>
        <v>170000</v>
      </c>
      <c r="M22" s="27">
        <f t="shared" si="1"/>
        <v>170000</v>
      </c>
      <c r="N22" s="28">
        <f t="shared" si="2"/>
        <v>5100000</v>
      </c>
      <c r="O22" s="28">
        <f t="shared" si="3"/>
        <v>0</v>
      </c>
      <c r="Q22" s="26">
        <f t="shared" si="4"/>
        <v>4285714.2857142854</v>
      </c>
      <c r="R22" s="26">
        <f t="shared" si="5"/>
        <v>814285.7142857142</v>
      </c>
    </row>
    <row r="23" spans="2:18" ht="18.75" customHeight="1">
      <c r="B23" s="46" t="str">
        <f>VLOOKUP($G$31+11,$F$34:$G$46,2)</f>
        <v>DICIEMBRE</v>
      </c>
      <c r="C23" s="46"/>
      <c r="D23" s="47">
        <f t="shared" si="6"/>
        <v>0</v>
      </c>
      <c r="E23" s="49"/>
      <c r="F23" s="20"/>
      <c r="G23">
        <f t="shared" si="7"/>
        <v>0</v>
      </c>
      <c r="K23" s="28">
        <v>5142000</v>
      </c>
      <c r="L23" s="26">
        <f t="shared" si="0"/>
        <v>171400</v>
      </c>
      <c r="M23" s="27">
        <f t="shared" si="1"/>
        <v>171400</v>
      </c>
      <c r="N23" s="28">
        <f t="shared" si="2"/>
        <v>5142000</v>
      </c>
      <c r="O23" s="28">
        <f t="shared" si="3"/>
        <v>0</v>
      </c>
      <c r="Q23" s="26">
        <f t="shared" si="4"/>
        <v>4321008.4033613447</v>
      </c>
      <c r="R23" s="26">
        <f t="shared" si="5"/>
        <v>820991.59663865552</v>
      </c>
    </row>
    <row r="24" spans="2:18">
      <c r="B24" s="50" t="s">
        <v>31</v>
      </c>
      <c r="C24" s="46">
        <f>SUM(C12:C23)</f>
        <v>31</v>
      </c>
      <c r="D24" s="47">
        <f>SUM(D12:D23)</f>
        <v>0</v>
      </c>
      <c r="E24" s="43"/>
      <c r="K24" s="28">
        <v>5244120</v>
      </c>
      <c r="L24" s="26">
        <f t="shared" si="0"/>
        <v>174804</v>
      </c>
      <c r="M24" s="27">
        <f t="shared" si="1"/>
        <v>174900</v>
      </c>
      <c r="N24" s="28">
        <f t="shared" si="2"/>
        <v>5247000</v>
      </c>
      <c r="O24" s="28">
        <f t="shared" si="3"/>
        <v>2880</v>
      </c>
      <c r="P24" t="s">
        <v>28</v>
      </c>
      <c r="Q24" s="26">
        <f t="shared" si="4"/>
        <v>4409243.6974789919</v>
      </c>
      <c r="R24" s="26">
        <f t="shared" si="5"/>
        <v>837756.30252100853</v>
      </c>
    </row>
    <row r="25" spans="2:18">
      <c r="B25" s="51"/>
      <c r="C25" s="52"/>
      <c r="D25" s="54"/>
      <c r="E25" s="43"/>
      <c r="K25" s="28">
        <v>4000000</v>
      </c>
      <c r="L25" s="26">
        <f t="shared" si="0"/>
        <v>133333.33333333334</v>
      </c>
      <c r="M25" s="27">
        <f t="shared" si="1"/>
        <v>133400</v>
      </c>
      <c r="N25" s="28">
        <f t="shared" si="2"/>
        <v>4002000</v>
      </c>
      <c r="O25" s="28">
        <f t="shared" si="3"/>
        <v>2000</v>
      </c>
      <c r="Q25" s="26">
        <f t="shared" si="4"/>
        <v>3363025.2100840337</v>
      </c>
      <c r="R25" s="26">
        <f t="shared" si="5"/>
        <v>638974.78991596645</v>
      </c>
    </row>
    <row r="26" spans="2:18">
      <c r="B26" s="43"/>
      <c r="C26" s="43"/>
      <c r="D26" s="43"/>
      <c r="E26" s="43"/>
      <c r="K26" s="28">
        <v>5385000</v>
      </c>
      <c r="L26" s="26">
        <f t="shared" si="0"/>
        <v>179500</v>
      </c>
      <c r="M26" s="27">
        <f t="shared" si="1"/>
        <v>179500</v>
      </c>
      <c r="N26" s="28">
        <f t="shared" si="2"/>
        <v>5385000</v>
      </c>
      <c r="O26" s="28">
        <f t="shared" si="3"/>
        <v>0</v>
      </c>
      <c r="Q26" s="26">
        <f t="shared" si="4"/>
        <v>4525210.084033614</v>
      </c>
      <c r="R26" s="26">
        <f t="shared" si="5"/>
        <v>859789.91596638667</v>
      </c>
    </row>
    <row r="27" spans="2:18">
      <c r="B27" s="43"/>
      <c r="C27" s="55"/>
      <c r="D27" s="55"/>
      <c r="E27" s="43"/>
      <c r="K27" s="28">
        <v>5385000</v>
      </c>
      <c r="L27" s="26">
        <f t="shared" si="0"/>
        <v>179500</v>
      </c>
      <c r="M27" s="27">
        <f t="shared" si="1"/>
        <v>179500</v>
      </c>
      <c r="N27" s="28">
        <f t="shared" si="2"/>
        <v>5385000</v>
      </c>
      <c r="O27" s="28">
        <f t="shared" si="3"/>
        <v>0</v>
      </c>
      <c r="Q27" s="26">
        <f t="shared" si="4"/>
        <v>4525210.084033614</v>
      </c>
      <c r="R27" s="26">
        <f t="shared" si="5"/>
        <v>859789.91596638667</v>
      </c>
    </row>
    <row r="28" spans="2:18">
      <c r="B28" s="56" t="s">
        <v>124</v>
      </c>
      <c r="C28" s="53"/>
      <c r="D28" s="43"/>
      <c r="E28" s="43"/>
      <c r="K28" s="28">
        <v>5500000</v>
      </c>
      <c r="L28" s="26">
        <f t="shared" si="0"/>
        <v>183333.33333333334</v>
      </c>
      <c r="M28" s="27">
        <f t="shared" si="1"/>
        <v>183400</v>
      </c>
      <c r="N28" s="28">
        <f t="shared" si="2"/>
        <v>5502000</v>
      </c>
      <c r="O28" s="28">
        <f t="shared" si="3"/>
        <v>2000</v>
      </c>
      <c r="Q28" s="26">
        <f t="shared" si="4"/>
        <v>4623529.4117647065</v>
      </c>
      <c r="R28" s="26">
        <f t="shared" si="5"/>
        <v>878470.58823529421</v>
      </c>
    </row>
    <row r="29" spans="2:18">
      <c r="B29" s="56" t="s">
        <v>125</v>
      </c>
      <c r="C29" s="53"/>
      <c r="D29" s="43"/>
      <c r="E29" s="43"/>
      <c r="K29" s="28">
        <v>5712000</v>
      </c>
      <c r="L29" s="26">
        <f t="shared" si="0"/>
        <v>190400</v>
      </c>
      <c r="M29" s="27">
        <f t="shared" si="1"/>
        <v>190400</v>
      </c>
      <c r="N29" s="28">
        <f t="shared" si="2"/>
        <v>5712000</v>
      </c>
      <c r="O29" s="28">
        <f t="shared" si="3"/>
        <v>0</v>
      </c>
      <c r="Q29" s="26">
        <f t="shared" si="4"/>
        <v>4800000</v>
      </c>
      <c r="R29" s="26">
        <f t="shared" si="5"/>
        <v>912000</v>
      </c>
    </row>
    <row r="30" spans="2:18" hidden="1">
      <c r="K30" s="28">
        <v>5900000</v>
      </c>
      <c r="L30" s="26">
        <f t="shared" si="0"/>
        <v>196666.66666666666</v>
      </c>
      <c r="M30" s="27">
        <f t="shared" si="1"/>
        <v>196700</v>
      </c>
      <c r="N30" s="28">
        <f t="shared" si="2"/>
        <v>5901000</v>
      </c>
      <c r="O30" s="28">
        <f t="shared" si="3"/>
        <v>1000</v>
      </c>
      <c r="Q30" s="26">
        <f t="shared" si="4"/>
        <v>4958823.5294117648</v>
      </c>
      <c r="R30" s="26">
        <f t="shared" si="5"/>
        <v>942176.4705882353</v>
      </c>
    </row>
    <row r="31" spans="2:18" hidden="1">
      <c r="B31" s="63" t="s">
        <v>140</v>
      </c>
      <c r="C31" t="s">
        <v>127</v>
      </c>
      <c r="G31">
        <f>VLOOKUP(C7,G34:H46,2,0)</f>
        <v>1</v>
      </c>
      <c r="K31" s="28">
        <v>6000000</v>
      </c>
      <c r="L31" s="26">
        <f t="shared" si="0"/>
        <v>200000</v>
      </c>
      <c r="M31" s="27">
        <f t="shared" si="1"/>
        <v>200000</v>
      </c>
      <c r="N31" s="28">
        <f t="shared" si="2"/>
        <v>6000000</v>
      </c>
      <c r="O31" s="28">
        <f t="shared" si="3"/>
        <v>0</v>
      </c>
      <c r="Q31" s="26">
        <f t="shared" si="4"/>
        <v>5042016.8067226894</v>
      </c>
      <c r="R31" s="26">
        <f t="shared" si="5"/>
        <v>957983.19327731105</v>
      </c>
    </row>
    <row r="32" spans="2:18" hidden="1">
      <c r="K32" s="28">
        <v>6097000</v>
      </c>
      <c r="L32" s="26">
        <f t="shared" si="0"/>
        <v>203233.33333333334</v>
      </c>
      <c r="M32" s="27">
        <f t="shared" si="1"/>
        <v>203300</v>
      </c>
      <c r="N32" s="28">
        <f t="shared" si="2"/>
        <v>6099000</v>
      </c>
      <c r="O32" s="28">
        <f t="shared" si="3"/>
        <v>2000</v>
      </c>
      <c r="Q32" s="26">
        <f t="shared" si="4"/>
        <v>5125210.084033614</v>
      </c>
      <c r="R32" s="26">
        <f t="shared" si="5"/>
        <v>973789.91596638667</v>
      </c>
    </row>
    <row r="33" spans="2:18" hidden="1">
      <c r="B33" s="44" t="s">
        <v>29</v>
      </c>
      <c r="C33" s="44" t="s">
        <v>123</v>
      </c>
      <c r="D33" s="44" t="s">
        <v>30</v>
      </c>
      <c r="K33" s="28">
        <v>6300000</v>
      </c>
      <c r="L33" s="26">
        <f t="shared" si="0"/>
        <v>210000</v>
      </c>
      <c r="M33" s="27">
        <f t="shared" si="1"/>
        <v>210000</v>
      </c>
      <c r="N33" s="28">
        <f t="shared" si="2"/>
        <v>6300000</v>
      </c>
      <c r="O33" s="28">
        <f t="shared" si="3"/>
        <v>0</v>
      </c>
      <c r="Q33" s="26">
        <f t="shared" si="4"/>
        <v>5294117.6470588241</v>
      </c>
      <c r="R33" s="26">
        <f t="shared" si="5"/>
        <v>1005882.3529411766</v>
      </c>
    </row>
    <row r="34" spans="2:18" hidden="1">
      <c r="B34" s="46" t="str">
        <f>VLOOKUP($G$31,$F$34:$G$46,2)</f>
        <v>ENERO</v>
      </c>
      <c r="C34" s="46"/>
      <c r="D34" s="47" t="str">
        <f t="shared" ref="D34:D45" si="8">IFERROR((ROUND($C$5/30*G34,0)),"")</f>
        <v/>
      </c>
      <c r="F34">
        <v>1</v>
      </c>
      <c r="G34" t="s">
        <v>127</v>
      </c>
      <c r="H34">
        <v>1</v>
      </c>
      <c r="K34" s="28">
        <v>6800000</v>
      </c>
      <c r="L34" s="26">
        <f t="shared" si="0"/>
        <v>226666.66666666666</v>
      </c>
      <c r="M34" s="27">
        <f t="shared" si="1"/>
        <v>226700</v>
      </c>
      <c r="N34" s="28">
        <f t="shared" si="2"/>
        <v>6801000</v>
      </c>
      <c r="O34" s="28">
        <f t="shared" si="3"/>
        <v>1000</v>
      </c>
      <c r="Q34" s="26">
        <f t="shared" si="4"/>
        <v>5715126.0504201688</v>
      </c>
      <c r="R34" s="26">
        <f t="shared" si="5"/>
        <v>1085873.9495798321</v>
      </c>
    </row>
    <row r="35" spans="2:18" hidden="1">
      <c r="B35" s="46" t="str">
        <f>VLOOKUP($G$31+1,$F$34:$G$46,2)</f>
        <v>FEBRERO</v>
      </c>
      <c r="C35" s="46"/>
      <c r="D35" s="47" t="str">
        <f t="shared" si="8"/>
        <v/>
      </c>
      <c r="F35">
        <v>2</v>
      </c>
      <c r="G35" t="s">
        <v>128</v>
      </c>
      <c r="H35">
        <v>2</v>
      </c>
      <c r="K35" s="28">
        <v>7113000</v>
      </c>
      <c r="L35" s="26">
        <f t="shared" si="0"/>
        <v>237100</v>
      </c>
      <c r="M35" s="27">
        <f t="shared" si="1"/>
        <v>237100</v>
      </c>
      <c r="N35" s="28">
        <f t="shared" si="2"/>
        <v>7113000</v>
      </c>
      <c r="O35" s="28">
        <f t="shared" si="3"/>
        <v>0</v>
      </c>
      <c r="Q35" s="26">
        <f t="shared" si="4"/>
        <v>5977310.9243697478</v>
      </c>
      <c r="R35" s="26">
        <f t="shared" si="5"/>
        <v>1135689.075630252</v>
      </c>
    </row>
    <row r="36" spans="2:18" hidden="1">
      <c r="B36" s="46" t="str">
        <f>VLOOKUP($G$31+2,$F$34:$G$46,2)</f>
        <v>MARZO</v>
      </c>
      <c r="C36" s="46"/>
      <c r="D36" s="47" t="str">
        <f t="shared" si="8"/>
        <v/>
      </c>
      <c r="F36">
        <v>3</v>
      </c>
      <c r="G36" t="s">
        <v>129</v>
      </c>
      <c r="H36">
        <v>3</v>
      </c>
      <c r="K36" s="28">
        <v>7115000</v>
      </c>
      <c r="L36" s="26">
        <f t="shared" si="0"/>
        <v>237166.66666666666</v>
      </c>
      <c r="M36" s="27">
        <f t="shared" si="1"/>
        <v>237200</v>
      </c>
      <c r="N36" s="28">
        <f t="shared" si="2"/>
        <v>7116000</v>
      </c>
      <c r="O36" s="28">
        <f t="shared" si="3"/>
        <v>1000</v>
      </c>
      <c r="Q36" s="26">
        <f t="shared" si="4"/>
        <v>5979831.9327731095</v>
      </c>
      <c r="R36" s="26">
        <f t="shared" si="5"/>
        <v>1136168.0672268907</v>
      </c>
    </row>
    <row r="37" spans="2:18" hidden="1">
      <c r="B37" s="46" t="str">
        <f>VLOOKUP($G$31+3,$F$34:$G$46,2)</f>
        <v>ABRIL</v>
      </c>
      <c r="C37" s="46"/>
      <c r="D37" s="47" t="str">
        <f t="shared" si="8"/>
        <v/>
      </c>
      <c r="F37">
        <v>4</v>
      </c>
      <c r="G37" t="s">
        <v>130</v>
      </c>
      <c r="H37">
        <v>4</v>
      </c>
      <c r="K37" s="28">
        <v>7115800</v>
      </c>
      <c r="L37" s="26">
        <f t="shared" si="0"/>
        <v>237193.33333333334</v>
      </c>
      <c r="M37" s="27">
        <f t="shared" si="1"/>
        <v>237200</v>
      </c>
      <c r="N37" s="28">
        <f t="shared" si="2"/>
        <v>7116000</v>
      </c>
      <c r="O37" s="28">
        <f t="shared" si="3"/>
        <v>200</v>
      </c>
      <c r="P37" t="s">
        <v>28</v>
      </c>
      <c r="Q37" s="26">
        <f t="shared" si="4"/>
        <v>5979831.9327731095</v>
      </c>
      <c r="R37" s="26">
        <f t="shared" si="5"/>
        <v>1136168.0672268907</v>
      </c>
    </row>
    <row r="38" spans="2:18" hidden="1">
      <c r="B38" s="46" t="str">
        <f>VLOOKUP($G$31+4,$F$34:$G$46,2)</f>
        <v>MAYO</v>
      </c>
      <c r="C38" s="46"/>
      <c r="D38" s="47" t="str">
        <f t="shared" si="8"/>
        <v/>
      </c>
      <c r="F38">
        <v>5</v>
      </c>
      <c r="G38" t="s">
        <v>131</v>
      </c>
      <c r="H38">
        <v>5</v>
      </c>
      <c r="K38" s="28">
        <v>7620750</v>
      </c>
      <c r="L38" s="26">
        <f t="shared" si="0"/>
        <v>254025</v>
      </c>
      <c r="M38" s="27">
        <f t="shared" si="1"/>
        <v>254100</v>
      </c>
      <c r="N38" s="28">
        <f t="shared" si="2"/>
        <v>7623000</v>
      </c>
      <c r="O38" s="28">
        <f t="shared" si="3"/>
        <v>2250</v>
      </c>
      <c r="P38" t="s">
        <v>28</v>
      </c>
      <c r="Q38" s="26">
        <f t="shared" si="4"/>
        <v>6405882.3529411769</v>
      </c>
      <c r="R38" s="26">
        <f t="shared" si="5"/>
        <v>1217117.6470588236</v>
      </c>
    </row>
    <row r="39" spans="2:18" hidden="1">
      <c r="B39" s="46" t="str">
        <f>VLOOKUP($G$31+5,$F$34:$G$46,2)</f>
        <v>JUNIO</v>
      </c>
      <c r="C39" s="46"/>
      <c r="D39" s="47" t="str">
        <f t="shared" si="8"/>
        <v/>
      </c>
      <c r="F39">
        <v>6</v>
      </c>
      <c r="G39" t="s">
        <v>132</v>
      </c>
      <c r="H39">
        <v>6</v>
      </c>
      <c r="K39" s="28">
        <v>8000000</v>
      </c>
      <c r="L39" s="26">
        <f t="shared" si="0"/>
        <v>266666.66666666669</v>
      </c>
      <c r="M39" s="27">
        <f t="shared" si="1"/>
        <v>266700</v>
      </c>
      <c r="N39" s="28">
        <f t="shared" si="2"/>
        <v>8001000</v>
      </c>
      <c r="O39" s="28">
        <f t="shared" si="3"/>
        <v>1000</v>
      </c>
      <c r="Q39" s="26">
        <f t="shared" si="4"/>
        <v>6723529.4117647065</v>
      </c>
      <c r="R39" s="26">
        <f t="shared" si="5"/>
        <v>1277470.5882352942</v>
      </c>
    </row>
    <row r="40" spans="2:18" hidden="1">
      <c r="B40" s="46" t="str">
        <f>VLOOKUP($G$31+6,$F$34:$G$46,2)</f>
        <v>JULIO</v>
      </c>
      <c r="C40" s="46"/>
      <c r="D40" s="47" t="str">
        <f t="shared" si="8"/>
        <v/>
      </c>
      <c r="F40">
        <v>7</v>
      </c>
      <c r="G40" t="s">
        <v>133</v>
      </c>
      <c r="H40">
        <v>7</v>
      </c>
      <c r="K40" s="28">
        <v>8129000</v>
      </c>
      <c r="L40" s="26">
        <f t="shared" si="0"/>
        <v>270966.66666666669</v>
      </c>
      <c r="M40" s="27">
        <f t="shared" si="1"/>
        <v>271000</v>
      </c>
      <c r="N40" s="28">
        <f t="shared" si="2"/>
        <v>8130000</v>
      </c>
      <c r="O40" s="28">
        <f t="shared" si="3"/>
        <v>1000</v>
      </c>
      <c r="Q40" s="26">
        <f t="shared" si="4"/>
        <v>6831932.7731092442</v>
      </c>
      <c r="R40" s="26">
        <f t="shared" si="5"/>
        <v>1298067.2268907565</v>
      </c>
    </row>
    <row r="41" spans="2:18" hidden="1">
      <c r="B41" s="46" t="str">
        <f>VLOOKUP($G$31+7,$F$34:$G$46,2)</f>
        <v>AGOSTO</v>
      </c>
      <c r="C41" s="46"/>
      <c r="D41" s="47" t="str">
        <f t="shared" si="8"/>
        <v/>
      </c>
      <c r="F41">
        <v>8</v>
      </c>
      <c r="G41" t="s">
        <v>134</v>
      </c>
      <c r="H41">
        <v>8</v>
      </c>
      <c r="K41" s="28">
        <v>9000000</v>
      </c>
      <c r="L41" s="26">
        <f t="shared" si="0"/>
        <v>300000</v>
      </c>
      <c r="M41" s="27">
        <f t="shared" si="1"/>
        <v>300000</v>
      </c>
      <c r="N41" s="28">
        <f t="shared" si="2"/>
        <v>9000000</v>
      </c>
      <c r="O41" s="28">
        <f t="shared" si="3"/>
        <v>0</v>
      </c>
      <c r="Q41" s="26">
        <f t="shared" si="4"/>
        <v>7563025.2100840341</v>
      </c>
      <c r="R41" s="26">
        <f t="shared" si="5"/>
        <v>1436974.7899159666</v>
      </c>
    </row>
    <row r="42" spans="2:18" ht="30" hidden="1" customHeight="1">
      <c r="B42" s="46" t="str">
        <f>VLOOKUP($G$31+8,$F$34:$G$46,2)</f>
        <v>SEPTIEMBRE</v>
      </c>
      <c r="C42" s="46"/>
      <c r="D42" s="47" t="str">
        <f t="shared" si="8"/>
        <v/>
      </c>
      <c r="F42">
        <v>9</v>
      </c>
      <c r="G42" t="s">
        <v>135</v>
      </c>
      <c r="H42">
        <v>9</v>
      </c>
    </row>
    <row r="43" spans="2:18" hidden="1">
      <c r="B43" s="46" t="str">
        <f>VLOOKUP($G$31+9,$F$34:$G$46,2)</f>
        <v>OCTUBRE</v>
      </c>
      <c r="C43" s="46"/>
      <c r="D43" s="47" t="str">
        <f t="shared" si="8"/>
        <v/>
      </c>
      <c r="F43">
        <v>10</v>
      </c>
      <c r="G43" t="s">
        <v>136</v>
      </c>
      <c r="H43">
        <v>10</v>
      </c>
    </row>
    <row r="44" spans="2:18" hidden="1">
      <c r="B44" s="46" t="str">
        <f>VLOOKUP($G$31+10,$F$34:$G$46,2)</f>
        <v>NOVIEMBRE</v>
      </c>
      <c r="C44" s="46"/>
      <c r="D44" s="47" t="str">
        <f t="shared" si="8"/>
        <v/>
      </c>
      <c r="F44">
        <v>11</v>
      </c>
      <c r="G44" t="s">
        <v>137</v>
      </c>
      <c r="H44">
        <v>11</v>
      </c>
    </row>
    <row r="45" spans="2:18" hidden="1">
      <c r="B45" s="46" t="str">
        <f>VLOOKUP($G$31+11,$F$34:$G$46,2)</f>
        <v>DICIEMBRE</v>
      </c>
      <c r="C45" s="46"/>
      <c r="D45" s="47" t="str">
        <f t="shared" si="8"/>
        <v/>
      </c>
      <c r="F45">
        <v>12</v>
      </c>
      <c r="G45" t="s">
        <v>138</v>
      </c>
      <c r="H45">
        <v>12</v>
      </c>
    </row>
    <row r="46" spans="2:18" hidden="1">
      <c r="B46" s="50" t="s">
        <v>31</v>
      </c>
      <c r="C46" s="46">
        <f>SUM(C34:C45)</f>
        <v>0</v>
      </c>
      <c r="D46" s="47">
        <f>SUM(D34:D45)</f>
        <v>0</v>
      </c>
      <c r="F46">
        <v>0</v>
      </c>
      <c r="G46" t="s">
        <v>139</v>
      </c>
      <c r="H46">
        <v>0</v>
      </c>
    </row>
  </sheetData>
  <mergeCells count="1">
    <mergeCell ref="B1:E1"/>
  </mergeCells>
  <phoneticPr fontId="19" type="noConversion"/>
  <conditionalFormatting sqref="C27">
    <cfRule type="expression" dxfId="1" priority="5">
      <formula>$C$26=1</formula>
    </cfRule>
  </conditionalFormatting>
  <conditionalFormatting sqref="D27">
    <cfRule type="expression" dxfId="0" priority="4">
      <formula>$D$26=1</formula>
    </cfRule>
  </conditionalFormatting>
  <dataValidations count="4">
    <dataValidation type="whole" allowBlank="1" showInputMessage="1" showErrorMessage="1" sqref="C5" xr:uid="{00000000-0002-0000-0100-000000000000}">
      <formula1>0</formula1>
      <formula2>25000000000</formula2>
    </dataValidation>
    <dataValidation type="whole" allowBlank="1" showInputMessage="1" showErrorMessage="1" sqref="C12:C24 C34:C46 C6" xr:uid="{BCF196F3-79B9-4EAF-B39E-303ABC334A9C}">
      <formula1>0</formula1>
      <formula2>31</formula2>
    </dataValidation>
    <dataValidation type="list" allowBlank="1" showInputMessage="1" showErrorMessage="1" sqref="C31" xr:uid="{EB2D9905-2D77-45F3-A884-69D6D536705E}">
      <formula1>$G$34:$G$45</formula1>
    </dataValidation>
    <dataValidation type="list" allowBlank="1" showInputMessage="1" showErrorMessage="1" sqref="C7" xr:uid="{7245422E-6C37-437B-A605-3E2EC339F85E}">
      <formula1>$G$34:$G$46</formula1>
    </dataValidation>
  </dataValidations>
  <pageMargins left="0.7" right="0.7" top="0.75" bottom="0.75" header="0.3" footer="0.3"/>
  <pageSetup scale="6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011A8-0B2D-45ED-8FA5-8200DC6BD4FB}">
          <x14:formula1>
            <xm:f>DATOS!$A$2:$A$23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11A35-EB62-4166-9002-BA80DBC76528}">
  <dimension ref="A1:E51"/>
  <sheetViews>
    <sheetView tabSelected="1" view="pageBreakPreview" zoomScale="130" zoomScaleNormal="103" zoomScaleSheetLayoutView="130" workbookViewId="0">
      <selection activeCell="C4" sqref="C4:E4"/>
    </sheetView>
  </sheetViews>
  <sheetFormatPr baseColWidth="10" defaultColWidth="0" defaultRowHeight="15" zeroHeight="1"/>
  <cols>
    <col min="1" max="1" width="9.85546875" customWidth="1"/>
    <col min="2" max="2" width="31.85546875" style="40" customWidth="1"/>
    <col min="3" max="3" width="16.5703125" style="40" customWidth="1"/>
    <col min="4" max="4" width="54" style="40" customWidth="1"/>
    <col min="5" max="5" width="11.5703125" style="74" customWidth="1"/>
    <col min="6" max="16384" width="11.5703125" hidden="1"/>
  </cols>
  <sheetData>
    <row r="1" spans="2:5" ht="70.150000000000006" customHeight="1" thickBot="1">
      <c r="B1" s="70"/>
      <c r="C1" s="108" t="s">
        <v>145</v>
      </c>
      <c r="D1" s="109"/>
      <c r="E1" s="109"/>
    </row>
    <row r="2" spans="2:5" ht="14.45" customHeight="1" thickBot="1">
      <c r="B2" s="110" t="s">
        <v>101</v>
      </c>
      <c r="C2" s="111"/>
      <c r="D2" s="111"/>
      <c r="E2" s="112"/>
    </row>
    <row r="3" spans="2:5" ht="14.45" customHeight="1">
      <c r="B3" s="79" t="s">
        <v>100</v>
      </c>
      <c r="C3" s="114" t="s">
        <v>141</v>
      </c>
      <c r="D3" s="115"/>
      <c r="E3" s="116"/>
    </row>
    <row r="4" spans="2:5" ht="14.45" customHeight="1">
      <c r="B4" s="71" t="s">
        <v>87</v>
      </c>
      <c r="C4" s="117" t="s">
        <v>88</v>
      </c>
      <c r="D4" s="118"/>
      <c r="E4" s="93"/>
    </row>
    <row r="5" spans="2:5" ht="14.45" customHeight="1">
      <c r="B5" s="71" t="s">
        <v>89</v>
      </c>
      <c r="C5" s="117" t="s">
        <v>90</v>
      </c>
      <c r="D5" s="118"/>
      <c r="E5" s="93"/>
    </row>
    <row r="6" spans="2:5" ht="14.45" customHeight="1">
      <c r="B6" s="71" t="s">
        <v>110</v>
      </c>
      <c r="C6" s="117" t="s">
        <v>111</v>
      </c>
      <c r="D6" s="118"/>
      <c r="E6" s="93"/>
    </row>
    <row r="7" spans="2:5" ht="14.45" customHeight="1">
      <c r="B7" s="71" t="s">
        <v>109</v>
      </c>
      <c r="C7" s="117" t="s">
        <v>111</v>
      </c>
      <c r="D7" s="118"/>
      <c r="E7" s="93"/>
    </row>
    <row r="8" spans="2:5" ht="14.45" customHeight="1" thickBot="1">
      <c r="B8" s="113" t="s">
        <v>112</v>
      </c>
      <c r="C8" s="113"/>
      <c r="D8" s="113"/>
      <c r="E8" s="113"/>
    </row>
    <row r="9" spans="2:5" ht="14.45" customHeight="1">
      <c r="B9" s="97" t="s">
        <v>94</v>
      </c>
      <c r="C9" s="133" t="s">
        <v>95</v>
      </c>
      <c r="D9" s="134"/>
      <c r="E9" s="135"/>
    </row>
    <row r="10" spans="2:5" ht="14.45" customHeight="1" thickBot="1">
      <c r="B10" s="98"/>
      <c r="C10" s="102" t="s">
        <v>96</v>
      </c>
      <c r="D10" s="103"/>
      <c r="E10" s="104"/>
    </row>
    <row r="11" spans="2:5" ht="14.45" customHeight="1">
      <c r="B11" s="97" t="s">
        <v>97</v>
      </c>
      <c r="C11" s="133" t="s">
        <v>98</v>
      </c>
      <c r="D11" s="134"/>
      <c r="E11" s="135"/>
    </row>
    <row r="12" spans="2:5" ht="14.45" customHeight="1" thickBot="1">
      <c r="B12" s="98"/>
      <c r="C12" s="102" t="s">
        <v>99</v>
      </c>
      <c r="D12" s="103"/>
      <c r="E12" s="104"/>
    </row>
    <row r="13" spans="2:5" ht="14.45" customHeight="1">
      <c r="B13" s="142" t="s">
        <v>107</v>
      </c>
      <c r="C13" s="133" t="s">
        <v>115</v>
      </c>
      <c r="D13" s="134"/>
      <c r="E13" s="135"/>
    </row>
    <row r="14" spans="2:5" ht="14.45" customHeight="1">
      <c r="B14" s="143"/>
      <c r="C14" s="117" t="s">
        <v>114</v>
      </c>
      <c r="D14" s="118"/>
      <c r="E14" s="141"/>
    </row>
    <row r="15" spans="2:5" ht="14.45" customHeight="1" thickBot="1">
      <c r="B15" s="144"/>
      <c r="C15" s="102" t="s">
        <v>113</v>
      </c>
      <c r="D15" s="103"/>
      <c r="E15" s="104"/>
    </row>
    <row r="16" spans="2:5" ht="14.45" customHeight="1">
      <c r="B16" s="97" t="s">
        <v>91</v>
      </c>
      <c r="C16" s="133" t="s">
        <v>92</v>
      </c>
      <c r="D16" s="134"/>
      <c r="E16" s="135"/>
    </row>
    <row r="17" spans="2:5" ht="14.45" customHeight="1" thickBot="1">
      <c r="B17" s="98"/>
      <c r="C17" s="102" t="s">
        <v>93</v>
      </c>
      <c r="D17" s="103"/>
      <c r="E17" s="104"/>
    </row>
    <row r="18" spans="2:5" ht="28.15" customHeight="1" thickBot="1">
      <c r="B18" s="68" t="s">
        <v>146</v>
      </c>
      <c r="C18" s="145" t="s">
        <v>147</v>
      </c>
      <c r="D18" s="146"/>
      <c r="E18" s="72"/>
    </row>
    <row r="19" spans="2:5" ht="15" customHeight="1" thickBot="1">
      <c r="B19" s="138" t="s">
        <v>102</v>
      </c>
      <c r="C19" s="139"/>
      <c r="D19" s="139"/>
      <c r="E19" s="140"/>
    </row>
    <row r="20" spans="2:5" ht="15.75" thickBot="1">
      <c r="B20" s="66" t="s">
        <v>105</v>
      </c>
      <c r="C20" s="99" t="s">
        <v>148</v>
      </c>
      <c r="D20" s="100"/>
      <c r="E20" s="101"/>
    </row>
    <row r="21" spans="2:5" ht="14.45" customHeight="1" thickBot="1">
      <c r="B21" s="65" t="s">
        <v>103</v>
      </c>
      <c r="C21" s="102" t="s">
        <v>152</v>
      </c>
      <c r="D21" s="103"/>
      <c r="E21" s="104"/>
    </row>
    <row r="22" spans="2:5" ht="15.75" thickBot="1">
      <c r="B22" s="67" t="s">
        <v>104</v>
      </c>
      <c r="C22" s="102" t="s">
        <v>151</v>
      </c>
      <c r="D22" s="103"/>
      <c r="E22" s="104"/>
    </row>
    <row r="23" spans="2:5" ht="15.75" thickBot="1">
      <c r="B23" s="105" t="s">
        <v>106</v>
      </c>
      <c r="C23" s="106"/>
      <c r="D23" s="106"/>
      <c r="E23" s="107"/>
    </row>
    <row r="24" spans="2:5">
      <c r="B24" s="78" t="s">
        <v>29</v>
      </c>
      <c r="C24" s="95" t="s">
        <v>142</v>
      </c>
      <c r="D24" s="96"/>
      <c r="E24" s="96"/>
    </row>
    <row r="25" spans="2:5">
      <c r="B25" s="73" t="str">
        <f>'PROYECCION PLAN DE PAGOS'!B12</f>
        <v>ENERO</v>
      </c>
      <c r="C25" s="86">
        <f>VLOOKUP(B25,'PROYECCION PLAN DE PAGOS'!B12:D24,3,0)</f>
        <v>0</v>
      </c>
      <c r="D25" s="87"/>
      <c r="E25" s="87"/>
    </row>
    <row r="26" spans="2:5">
      <c r="B26" s="73" t="str">
        <f>'PROYECCION PLAN DE PAGOS'!B13</f>
        <v>FEBRERO</v>
      </c>
      <c r="C26" s="86">
        <f>VLOOKUP(B26,'PROYECCION PLAN DE PAGOS'!B13:D25,3,0)</f>
        <v>0</v>
      </c>
      <c r="D26" s="87"/>
      <c r="E26" s="87"/>
    </row>
    <row r="27" spans="2:5">
      <c r="B27" s="73" t="str">
        <f>'PROYECCION PLAN DE PAGOS'!B14</f>
        <v>MARZO</v>
      </c>
      <c r="C27" s="86">
        <f>VLOOKUP(B27,'PROYECCION PLAN DE PAGOS'!B14:D26,3,0)</f>
        <v>0</v>
      </c>
      <c r="D27" s="87"/>
      <c r="E27" s="87"/>
    </row>
    <row r="28" spans="2:5">
      <c r="B28" s="73" t="str">
        <f>'PROYECCION PLAN DE PAGOS'!B15</f>
        <v>ABRIL</v>
      </c>
      <c r="C28" s="86">
        <f>VLOOKUP(B28,'PROYECCION PLAN DE PAGOS'!B15:D27,3,0)</f>
        <v>0</v>
      </c>
      <c r="D28" s="87"/>
      <c r="E28" s="87"/>
    </row>
    <row r="29" spans="2:5">
      <c r="B29" s="73" t="str">
        <f>'PROYECCION PLAN DE PAGOS'!B16</f>
        <v>MAYO</v>
      </c>
      <c r="C29" s="86">
        <f>VLOOKUP(B29,'PROYECCION PLAN DE PAGOS'!B16:D28,3,0)</f>
        <v>0</v>
      </c>
      <c r="D29" s="87"/>
      <c r="E29" s="87"/>
    </row>
    <row r="30" spans="2:5">
      <c r="B30" s="73" t="str">
        <f>'PROYECCION PLAN DE PAGOS'!B17</f>
        <v>JUNIO</v>
      </c>
      <c r="C30" s="86">
        <f>VLOOKUP(B30,'PROYECCION PLAN DE PAGOS'!B17:D29,3,0)</f>
        <v>0</v>
      </c>
      <c r="D30" s="87"/>
      <c r="E30" s="87"/>
    </row>
    <row r="31" spans="2:5">
      <c r="B31" s="73" t="str">
        <f>'PROYECCION PLAN DE PAGOS'!B18</f>
        <v>JULIO</v>
      </c>
      <c r="C31" s="86">
        <f>VLOOKUP(B31,'PROYECCION PLAN DE PAGOS'!B18:D30,3,0)</f>
        <v>0</v>
      </c>
      <c r="D31" s="87"/>
      <c r="E31" s="87"/>
    </row>
    <row r="32" spans="2:5">
      <c r="B32" s="73" t="str">
        <f>'PROYECCION PLAN DE PAGOS'!B19</f>
        <v>AGOSTO</v>
      </c>
      <c r="C32" s="86">
        <f>VLOOKUP(B32,'PROYECCION PLAN DE PAGOS'!B19:D31,3,0)</f>
        <v>0</v>
      </c>
      <c r="D32" s="87"/>
      <c r="E32" s="87"/>
    </row>
    <row r="33" spans="2:5">
      <c r="B33" s="73" t="str">
        <f>'PROYECCION PLAN DE PAGOS'!B20</f>
        <v>SEPTIEMBRE</v>
      </c>
      <c r="C33" s="86">
        <f>VLOOKUP(B33,'PROYECCION PLAN DE PAGOS'!B20:D32,3,0)</f>
        <v>0</v>
      </c>
      <c r="D33" s="87"/>
      <c r="E33" s="87"/>
    </row>
    <row r="34" spans="2:5">
      <c r="B34" s="73" t="str">
        <f>'PROYECCION PLAN DE PAGOS'!B21</f>
        <v>OCTUBRE</v>
      </c>
      <c r="C34" s="86">
        <f>VLOOKUP(B34,'PROYECCION PLAN DE PAGOS'!B21:D33,3,0)</f>
        <v>0</v>
      </c>
      <c r="D34" s="87"/>
      <c r="E34" s="87"/>
    </row>
    <row r="35" spans="2:5">
      <c r="B35" s="73" t="str">
        <f>'PROYECCION PLAN DE PAGOS'!B22</f>
        <v>NOVIEMBRE</v>
      </c>
      <c r="C35" s="86">
        <f>VLOOKUP(B35,'PROYECCION PLAN DE PAGOS'!B22:D34,3,0)</f>
        <v>0</v>
      </c>
      <c r="D35" s="87"/>
      <c r="E35" s="87"/>
    </row>
    <row r="36" spans="2:5">
      <c r="B36" s="73" t="str">
        <f>'PROYECCION PLAN DE PAGOS'!B23</f>
        <v>DICIEMBRE</v>
      </c>
      <c r="C36" s="86">
        <f>VLOOKUP(B36,'PROYECCION PLAN DE PAGOS'!B23:D35,3,0)</f>
        <v>0</v>
      </c>
      <c r="D36" s="87"/>
      <c r="E36" s="87"/>
    </row>
    <row r="37" spans="2:5" ht="15.75" thickBot="1">
      <c r="B37" s="76" t="s">
        <v>31</v>
      </c>
      <c r="C37" s="136">
        <f>'PROYECCION PLAN DE PAGOS'!D24</f>
        <v>0</v>
      </c>
      <c r="D37" s="137"/>
      <c r="E37" s="137"/>
    </row>
    <row r="38" spans="2:5" ht="14.45" customHeight="1" thickBot="1">
      <c r="B38" s="105" t="s">
        <v>149</v>
      </c>
      <c r="C38" s="106"/>
      <c r="D38" s="106"/>
      <c r="E38" s="107"/>
    </row>
    <row r="39" spans="2:5">
      <c r="B39" s="77" t="s">
        <v>108</v>
      </c>
      <c r="C39" s="125" t="str">
        <f>IFERROR(C6-C37," ")</f>
        <v xml:space="preserve"> </v>
      </c>
      <c r="D39" s="126"/>
      <c r="E39" s="126"/>
    </row>
    <row r="40" spans="2:5" ht="54.6" customHeight="1" thickBot="1">
      <c r="B40" s="69" t="s">
        <v>143</v>
      </c>
      <c r="C40" s="127" t="s">
        <v>144</v>
      </c>
      <c r="D40" s="128"/>
      <c r="E40" s="128"/>
    </row>
    <row r="41" spans="2:5" ht="22.9" customHeight="1" thickBot="1">
      <c r="B41" s="129" t="s">
        <v>150</v>
      </c>
      <c r="C41" s="130"/>
      <c r="D41" s="130"/>
      <c r="E41" s="131"/>
    </row>
    <row r="42" spans="2:5" ht="36" customHeight="1">
      <c r="B42" s="122" t="s">
        <v>116</v>
      </c>
      <c r="C42" s="132" t="s">
        <v>117</v>
      </c>
      <c r="D42" s="91"/>
      <c r="E42" s="92"/>
    </row>
    <row r="43" spans="2:5" ht="14.45" customHeight="1">
      <c r="B43" s="123"/>
      <c r="C43" s="94" t="s">
        <v>118</v>
      </c>
      <c r="D43" s="94"/>
      <c r="E43" s="94"/>
    </row>
    <row r="44" spans="2:5" ht="14.45" customHeight="1" thickBot="1">
      <c r="B44" s="124"/>
      <c r="C44" s="88" t="s">
        <v>119</v>
      </c>
      <c r="D44" s="89"/>
      <c r="E44" s="90"/>
    </row>
    <row r="45" spans="2:5" ht="33" customHeight="1">
      <c r="B45" s="119" t="s">
        <v>120</v>
      </c>
      <c r="C45" s="91" t="s">
        <v>117</v>
      </c>
      <c r="D45" s="91"/>
      <c r="E45" s="92"/>
    </row>
    <row r="46" spans="2:5" ht="14.45" customHeight="1">
      <c r="B46" s="120"/>
      <c r="C46" s="93" t="s">
        <v>118</v>
      </c>
      <c r="D46" s="94"/>
      <c r="E46" s="94"/>
    </row>
    <row r="47" spans="2:5" ht="15" customHeight="1" thickBot="1">
      <c r="B47" s="121"/>
      <c r="C47" s="89" t="s">
        <v>115</v>
      </c>
      <c r="D47" s="89"/>
      <c r="E47" s="90"/>
    </row>
    <row r="48" spans="2:5">
      <c r="B48" s="64"/>
      <c r="C48" s="64"/>
      <c r="D48" s="64"/>
    </row>
    <row r="49" spans="2:5" ht="15.75" thickBot="1">
      <c r="B49" s="64"/>
      <c r="C49" s="64"/>
      <c r="D49" s="64"/>
    </row>
    <row r="50" spans="2:5" ht="12" customHeight="1" thickBot="1">
      <c r="B50" s="75" t="s">
        <v>121</v>
      </c>
      <c r="C50" s="83"/>
      <c r="D50" s="84"/>
      <c r="E50" s="85"/>
    </row>
    <row r="51" spans="2:5"/>
  </sheetData>
  <mergeCells count="54">
    <mergeCell ref="C36:E36"/>
    <mergeCell ref="C37:E37"/>
    <mergeCell ref="B19:E19"/>
    <mergeCell ref="C11:E11"/>
    <mergeCell ref="C12:E12"/>
    <mergeCell ref="C13:E13"/>
    <mergeCell ref="C14:E14"/>
    <mergeCell ref="C15:E15"/>
    <mergeCell ref="C16:E16"/>
    <mergeCell ref="C17:E17"/>
    <mergeCell ref="B13:B15"/>
    <mergeCell ref="B16:B17"/>
    <mergeCell ref="C18:D18"/>
    <mergeCell ref="C32:E32"/>
    <mergeCell ref="C33:E33"/>
    <mergeCell ref="C34:E34"/>
    <mergeCell ref="C35:E35"/>
    <mergeCell ref="B9:B10"/>
    <mergeCell ref="C9:E9"/>
    <mergeCell ref="C10:E10"/>
    <mergeCell ref="C1:E1"/>
    <mergeCell ref="B2:E2"/>
    <mergeCell ref="B8:E8"/>
    <mergeCell ref="C3:E3"/>
    <mergeCell ref="C4:E4"/>
    <mergeCell ref="C5:E5"/>
    <mergeCell ref="C6:E6"/>
    <mergeCell ref="C7:E7"/>
    <mergeCell ref="B11:B12"/>
    <mergeCell ref="C20:E20"/>
    <mergeCell ref="C21:E21"/>
    <mergeCell ref="C22:E22"/>
    <mergeCell ref="B23:E23"/>
    <mergeCell ref="C24:E24"/>
    <mergeCell ref="C25:E25"/>
    <mergeCell ref="C26:E26"/>
    <mergeCell ref="C27:E27"/>
    <mergeCell ref="C28:E28"/>
    <mergeCell ref="C50:E50"/>
    <mergeCell ref="C29:E29"/>
    <mergeCell ref="C44:E44"/>
    <mergeCell ref="C45:E45"/>
    <mergeCell ref="C46:E46"/>
    <mergeCell ref="C47:E47"/>
    <mergeCell ref="B38:E38"/>
    <mergeCell ref="C30:E30"/>
    <mergeCell ref="B45:B47"/>
    <mergeCell ref="B42:B44"/>
    <mergeCell ref="C39:E39"/>
    <mergeCell ref="C40:E40"/>
    <mergeCell ref="B41:E41"/>
    <mergeCell ref="C42:E42"/>
    <mergeCell ref="C43:E43"/>
    <mergeCell ref="C31:E31"/>
  </mergeCells>
  <dataValidations count="1">
    <dataValidation type="list" allowBlank="1" showInputMessage="1" showErrorMessage="1" sqref="E18" xr:uid="{EE48607C-CE77-4E05-A8CC-B6AF500FDC5D}">
      <formula1>"APORTA, NO APORTA"</formula1>
    </dataValidation>
  </dataValidations>
  <pageMargins left="0.66" right="0.7" top="0.75" bottom="0.75" header="0.3" footer="0.3"/>
  <pageSetup paperSize="5" scale="79" orientation="portrait" horizontalDpi="4294967293" r:id="rId1"/>
  <rowBreaks count="1" manualBreakCount="1">
    <brk id="51" min="1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AEC2-5C77-4BDB-BE87-6067702C4E19}">
  <dimension ref="A1:G23"/>
  <sheetViews>
    <sheetView topLeftCell="A17" workbookViewId="0">
      <selection activeCell="A23" sqref="A23"/>
    </sheetView>
  </sheetViews>
  <sheetFormatPr baseColWidth="10" defaultRowHeight="15"/>
  <cols>
    <col min="1" max="1" width="42.28515625" customWidth="1"/>
    <col min="2" max="2" width="14.5703125" customWidth="1"/>
    <col min="3" max="3" width="19.28515625" customWidth="1"/>
    <col min="4" max="4" width="20.28515625" customWidth="1"/>
    <col min="6" max="6" width="17.28515625" bestFit="1" customWidth="1"/>
  </cols>
  <sheetData>
    <row r="1" spans="1:7">
      <c r="A1" s="31" t="s">
        <v>32</v>
      </c>
      <c r="B1" s="32"/>
      <c r="C1" s="33" t="s">
        <v>33</v>
      </c>
      <c r="E1" s="34" t="s">
        <v>34</v>
      </c>
      <c r="G1" s="34" t="s">
        <v>35</v>
      </c>
    </row>
    <row r="2" spans="1:7" ht="105">
      <c r="A2" s="35" t="s">
        <v>36</v>
      </c>
      <c r="B2" s="36"/>
      <c r="C2" s="37" t="s">
        <v>37</v>
      </c>
      <c r="E2" s="38" t="s">
        <v>38</v>
      </c>
      <c r="G2" s="39">
        <v>11330000</v>
      </c>
    </row>
    <row r="3" spans="1:7" ht="105">
      <c r="A3" s="35" t="s">
        <v>39</v>
      </c>
      <c r="B3" s="36"/>
      <c r="C3" s="37" t="s">
        <v>37</v>
      </c>
      <c r="E3" s="38" t="s">
        <v>40</v>
      </c>
      <c r="G3" s="39">
        <v>10815000</v>
      </c>
    </row>
    <row r="4" spans="1:7" ht="105">
      <c r="A4" s="35" t="s">
        <v>41</v>
      </c>
      <c r="B4" s="36"/>
      <c r="C4" s="37" t="s">
        <v>37</v>
      </c>
      <c r="E4" s="38" t="s">
        <v>42</v>
      </c>
      <c r="G4" s="39">
        <v>10300000</v>
      </c>
    </row>
    <row r="5" spans="1:7" ht="105">
      <c r="A5" s="35" t="s">
        <v>43</v>
      </c>
      <c r="B5" s="36"/>
      <c r="C5" s="37" t="s">
        <v>37</v>
      </c>
      <c r="E5" s="38" t="s">
        <v>44</v>
      </c>
      <c r="G5" s="39">
        <v>9373000</v>
      </c>
    </row>
    <row r="6" spans="1:7" ht="105">
      <c r="A6" s="35" t="s">
        <v>45</v>
      </c>
      <c r="B6" s="36"/>
      <c r="C6" s="37" t="s">
        <v>37</v>
      </c>
      <c r="E6" s="38" t="s">
        <v>46</v>
      </c>
      <c r="G6" s="39">
        <v>8755000</v>
      </c>
    </row>
    <row r="7" spans="1:7" ht="105">
      <c r="A7" s="35" t="s">
        <v>47</v>
      </c>
      <c r="B7" s="36"/>
      <c r="C7" s="37" t="s">
        <v>37</v>
      </c>
      <c r="E7" s="38" t="s">
        <v>48</v>
      </c>
      <c r="G7" s="39">
        <v>8240000</v>
      </c>
    </row>
    <row r="8" spans="1:7" ht="105">
      <c r="A8" s="35" t="s">
        <v>49</v>
      </c>
      <c r="B8" s="36"/>
      <c r="C8" s="37" t="s">
        <v>37</v>
      </c>
      <c r="E8" s="38" t="s">
        <v>50</v>
      </c>
      <c r="G8" s="39">
        <v>7725000</v>
      </c>
    </row>
    <row r="9" spans="1:7" ht="105">
      <c r="A9" s="35" t="s">
        <v>51</v>
      </c>
      <c r="B9" s="36"/>
      <c r="C9" s="37" t="s">
        <v>37</v>
      </c>
      <c r="E9" s="38" t="s">
        <v>52</v>
      </c>
      <c r="G9" s="39">
        <v>7210000</v>
      </c>
    </row>
    <row r="10" spans="1:7" ht="105">
      <c r="A10" s="35" t="s">
        <v>53</v>
      </c>
      <c r="B10" s="36"/>
      <c r="C10" s="37" t="s">
        <v>37</v>
      </c>
      <c r="E10" s="38" t="s">
        <v>54</v>
      </c>
      <c r="G10" s="39">
        <v>6695000</v>
      </c>
    </row>
    <row r="11" spans="1:7" ht="105">
      <c r="A11" s="35" t="s">
        <v>55</v>
      </c>
      <c r="B11" s="36"/>
      <c r="C11" s="37" t="s">
        <v>37</v>
      </c>
      <c r="E11" s="38" t="s">
        <v>56</v>
      </c>
      <c r="G11" s="39">
        <v>6180000</v>
      </c>
    </row>
    <row r="12" spans="1:7" ht="105">
      <c r="A12" s="35" t="s">
        <v>57</v>
      </c>
      <c r="B12" s="36"/>
      <c r="C12" s="37" t="s">
        <v>37</v>
      </c>
      <c r="E12" s="38" t="s">
        <v>58</v>
      </c>
      <c r="G12" s="39">
        <v>5665000</v>
      </c>
    </row>
    <row r="13" spans="1:7" ht="105">
      <c r="A13" s="35" t="s">
        <v>59</v>
      </c>
      <c r="B13" s="36"/>
      <c r="C13" s="37" t="s">
        <v>37</v>
      </c>
      <c r="E13" s="38" t="s">
        <v>60</v>
      </c>
      <c r="G13" s="39">
        <v>5150000</v>
      </c>
    </row>
    <row r="14" spans="1:7" ht="75">
      <c r="A14" s="35" t="s">
        <v>61</v>
      </c>
      <c r="B14" s="36"/>
      <c r="C14" s="37" t="s">
        <v>62</v>
      </c>
      <c r="E14" s="38" t="s">
        <v>63</v>
      </c>
      <c r="G14" s="39">
        <v>4635000</v>
      </c>
    </row>
    <row r="15" spans="1:7" ht="75">
      <c r="A15" s="35" t="s">
        <v>64</v>
      </c>
      <c r="B15" s="36"/>
      <c r="C15" s="37" t="s">
        <v>62</v>
      </c>
      <c r="E15" s="38" t="s">
        <v>65</v>
      </c>
      <c r="G15" s="39">
        <v>4274500</v>
      </c>
    </row>
    <row r="16" spans="1:7" ht="75">
      <c r="A16" s="35" t="s">
        <v>66</v>
      </c>
      <c r="B16" s="36"/>
      <c r="C16" s="37" t="s">
        <v>62</v>
      </c>
      <c r="E16" s="38" t="s">
        <v>67</v>
      </c>
      <c r="G16" s="39">
        <v>4017000</v>
      </c>
    </row>
    <row r="17" spans="1:7" ht="75">
      <c r="A17" s="35" t="s">
        <v>68</v>
      </c>
      <c r="B17" s="36"/>
      <c r="C17" s="37" t="s">
        <v>62</v>
      </c>
      <c r="E17" s="38" t="s">
        <v>69</v>
      </c>
      <c r="G17" s="39">
        <v>3708000</v>
      </c>
    </row>
    <row r="18" spans="1:7" ht="45">
      <c r="A18" s="35" t="s">
        <v>70</v>
      </c>
      <c r="B18" s="36"/>
      <c r="C18" s="37" t="s">
        <v>71</v>
      </c>
      <c r="E18" s="38" t="s">
        <v>72</v>
      </c>
      <c r="G18" s="39">
        <v>3300000</v>
      </c>
    </row>
    <row r="19" spans="1:7" ht="45">
      <c r="A19" s="35" t="s">
        <v>73</v>
      </c>
      <c r="B19" s="36"/>
      <c r="C19" s="37" t="s">
        <v>71</v>
      </c>
      <c r="E19" s="38" t="s">
        <v>74</v>
      </c>
      <c r="G19" s="39">
        <v>2925200</v>
      </c>
    </row>
    <row r="20" spans="1:7" ht="45">
      <c r="A20" s="35" t="s">
        <v>75</v>
      </c>
      <c r="B20" s="36"/>
      <c r="C20" s="37" t="s">
        <v>71</v>
      </c>
      <c r="E20" s="38" t="s">
        <v>76</v>
      </c>
      <c r="G20" s="39">
        <v>2523500</v>
      </c>
    </row>
    <row r="21" spans="1:7" ht="45">
      <c r="A21" s="35" t="s">
        <v>77</v>
      </c>
      <c r="B21" s="36"/>
      <c r="C21" s="37" t="s">
        <v>78</v>
      </c>
      <c r="E21" s="38" t="s">
        <v>79</v>
      </c>
      <c r="G21" s="39">
        <v>2266000</v>
      </c>
    </row>
    <row r="22" spans="1:7" ht="45">
      <c r="A22" s="35" t="s">
        <v>80</v>
      </c>
      <c r="B22" s="36"/>
      <c r="C22" s="37" t="s">
        <v>81</v>
      </c>
      <c r="E22" s="38" t="s">
        <v>82</v>
      </c>
      <c r="G22" s="39">
        <v>1905500</v>
      </c>
    </row>
    <row r="23" spans="1:7" ht="45">
      <c r="A23" s="35" t="s">
        <v>83</v>
      </c>
      <c r="B23" s="36"/>
      <c r="C23" s="37" t="s">
        <v>81</v>
      </c>
      <c r="E23" s="38" t="s">
        <v>84</v>
      </c>
      <c r="G23" s="39">
        <v>1802500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CONTROL VIGENCIAS</vt:lpstr>
      <vt:lpstr>PROYECCION PLAN DE PAGOS</vt:lpstr>
      <vt:lpstr>ACTA DE INICIO </vt:lpstr>
      <vt:lpstr>DATOS</vt:lpstr>
      <vt:lpstr>'ACTA DE INICIO '!Área_de_impresión</vt:lpstr>
      <vt:lpstr>'PROYECCION PLAN DE PAGOS'!Área_de_impresión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cp:keywords/>
  <dc:description/>
  <cp:lastModifiedBy>Javier Enrique Ruiz Peñalosa</cp:lastModifiedBy>
  <cp:revision/>
  <cp:lastPrinted>2025-06-06T13:21:54Z</cp:lastPrinted>
  <dcterms:created xsi:type="dcterms:W3CDTF">2020-07-31T14:02:51Z</dcterms:created>
  <dcterms:modified xsi:type="dcterms:W3CDTF">2025-06-12T16:53:29Z</dcterms:modified>
  <cp:category/>
  <cp:contentStatus/>
</cp:coreProperties>
</file>